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7995" windowHeight="6660" activeTab="0"/>
  </bookViews>
  <sheets>
    <sheet name="Coûts complets" sheetId="1" r:id="rId1"/>
    <sheet name="DA" sheetId="2" r:id="rId2"/>
    <sheet name="Feuil1" sheetId="3" r:id="rId3"/>
  </sheets>
  <definedNames/>
  <calcPr fullCalcOnLoad="1"/>
</workbook>
</file>

<file path=xl/sharedStrings.xml><?xml version="1.0" encoding="utf-8"?>
<sst xmlns="http://schemas.openxmlformats.org/spreadsheetml/2006/main" count="211" uniqueCount="107">
  <si>
    <t>GRH</t>
  </si>
  <si>
    <t>Entretien</t>
  </si>
  <si>
    <t>Achats</t>
  </si>
  <si>
    <t>Usinage</t>
  </si>
  <si>
    <t>Montage</t>
  </si>
  <si>
    <t>Commercial</t>
  </si>
  <si>
    <t>TOTAL</t>
  </si>
  <si>
    <t>Centres Auxiliaires</t>
  </si>
  <si>
    <t>Centres Principaux</t>
  </si>
  <si>
    <t xml:space="preserve">Etudes </t>
  </si>
  <si>
    <t>Administration</t>
  </si>
  <si>
    <t>Centres de structure</t>
  </si>
  <si>
    <t>Répartition primaire</t>
  </si>
  <si>
    <t>Repart GRH</t>
  </si>
  <si>
    <t>clé GRH</t>
  </si>
  <si>
    <t>clé Entretien</t>
  </si>
  <si>
    <t>Répart Entretien</t>
  </si>
  <si>
    <t>Heure de
main d'œuvre</t>
  </si>
  <si>
    <t>Unité d'Œuvres</t>
  </si>
  <si>
    <t>M100</t>
  </si>
  <si>
    <t>M500</t>
  </si>
  <si>
    <t>Quantité</t>
  </si>
  <si>
    <t>Prix Unitaire</t>
  </si>
  <si>
    <t>Charges directes d'achat 
des composants</t>
  </si>
  <si>
    <t>Charges indirectes d'achat 
des composants</t>
  </si>
  <si>
    <t>Cout total d'achat
des composants</t>
  </si>
  <si>
    <t>Charges directes
d'usinage</t>
  </si>
  <si>
    <t>Charges indirectes
d'usinage</t>
  </si>
  <si>
    <t>Total charges
d'usinage</t>
  </si>
  <si>
    <t>Charges directes
de montage</t>
  </si>
  <si>
    <t>Charges indirectes
de montage</t>
  </si>
  <si>
    <t>Total charges
de montage</t>
  </si>
  <si>
    <t>Coût de Production</t>
  </si>
  <si>
    <t>Coût de Revient</t>
  </si>
  <si>
    <t>Charges des Coûts de Structures</t>
  </si>
  <si>
    <t>Coût de Revient
Unitaire</t>
  </si>
  <si>
    <t>Prix de Vente unitaire</t>
  </si>
  <si>
    <t>Marge</t>
  </si>
  <si>
    <t>Coût de revient =</t>
  </si>
  <si>
    <t>Coût d'achat</t>
  </si>
  <si>
    <t>Coût de poduction</t>
  </si>
  <si>
    <t>Autres charge fixes (indirectes)</t>
  </si>
  <si>
    <t>+</t>
  </si>
  <si>
    <t>Répartition des charges indirectes</t>
  </si>
  <si>
    <t>Centre d'analyse</t>
  </si>
  <si>
    <t>main d'œuvre</t>
  </si>
  <si>
    <t>Autres charges</t>
  </si>
  <si>
    <t>Amortissements</t>
  </si>
  <si>
    <t>Heure de main d'œuvre directe des ateliers</t>
  </si>
  <si>
    <t>Attention: quand on répartit un centre d'analyse dans les autres, il convient de retirer du total la part de ce centre et de ne pas le répartir dans lui-même.</t>
  </si>
  <si>
    <t>Pour savoir à quels centres et à quelle hauteur on répartit un centre, on prend en compte son unité d'œuvre.</t>
  </si>
  <si>
    <t>Total par centre</t>
  </si>
  <si>
    <t>Volume/valeur UO</t>
  </si>
  <si>
    <t>Coût d'achat et de production</t>
  </si>
  <si>
    <t>Part dans le coût de production</t>
  </si>
  <si>
    <r>
      <t xml:space="preserve"> Le coût de production s'obtient en faisant la somme des différents coûts de production directs et indirects </t>
    </r>
    <r>
      <rPr>
        <b/>
        <sz val="11"/>
        <rFont val="Arial"/>
        <family val="2"/>
      </rPr>
      <t>et</t>
    </r>
    <r>
      <rPr>
        <sz val="11"/>
        <rFont val="Arial"/>
        <family val="2"/>
      </rPr>
      <t xml:space="preserve"> le coût d'achat des composants. </t>
    </r>
  </si>
  <si>
    <t>Il s'agit de distinguer  les centre d'analyse auxiliaires des centres d'analyse principaux. Les charges du centre principal peuvent être imputées grâce aux unités d'œuvres. 
Les centres d'analyse auxiliaires désignent des services qui travaillent pour l'ensemble de l'entreprise.</t>
  </si>
  <si>
    <t>On commence par répartir les centres qui se s'allouent au plus grand nombre de centres</t>
  </si>
  <si>
    <t>total</t>
  </si>
  <si>
    <t>taux hor. MOD</t>
  </si>
  <si>
    <t>Qtés d'achat
des composants</t>
  </si>
  <si>
    <t>Planification</t>
  </si>
  <si>
    <t>clé Planification</t>
  </si>
  <si>
    <t>Répart Planification</t>
  </si>
  <si>
    <t>CA</t>
  </si>
  <si>
    <t>SI</t>
  </si>
  <si>
    <t>E</t>
  </si>
  <si>
    <t>SF</t>
  </si>
  <si>
    <t>Q</t>
  </si>
  <si>
    <t>P</t>
  </si>
  <si>
    <t>T</t>
  </si>
  <si>
    <t>C1</t>
  </si>
  <si>
    <t>C2</t>
  </si>
  <si>
    <t>S *</t>
  </si>
  <si>
    <t>* 30 =M1000</t>
  </si>
  <si>
    <t>* 6 = M5000</t>
  </si>
  <si>
    <t>* 60 =M1000</t>
  </si>
  <si>
    <t>C3 à C7</t>
  </si>
  <si>
    <t xml:space="preserve">C3 à C7 </t>
  </si>
  <si>
    <t>Ch. De distrib.</t>
  </si>
  <si>
    <t>verif</t>
  </si>
  <si>
    <t>économie de M CONARD</t>
  </si>
  <si>
    <t xml:space="preserve">avant </t>
  </si>
  <si>
    <t>après</t>
  </si>
  <si>
    <t>DIFF</t>
  </si>
  <si>
    <t xml:space="preserve">ou plus rapide </t>
  </si>
  <si>
    <t>soit en primes</t>
  </si>
  <si>
    <t xml:space="preserve">ou </t>
  </si>
  <si>
    <t>vérif</t>
  </si>
  <si>
    <t>P0</t>
  </si>
  <si>
    <t>P1</t>
  </si>
  <si>
    <t>M1000</t>
  </si>
  <si>
    <t>M5000</t>
  </si>
  <si>
    <t>surcout</t>
  </si>
  <si>
    <t>%</t>
  </si>
  <si>
    <t>cout revient</t>
  </si>
  <si>
    <t>RES FINAL</t>
  </si>
  <si>
    <t xml:space="preserve">PROFITABILITE DIVISEE PAR DEUX </t>
  </si>
  <si>
    <t>Même clé</t>
  </si>
  <si>
    <t>Heure
machine</t>
  </si>
  <si>
    <t>Heures de main d'œuvre Ind des centres utilisateurs de main d'œuvre</t>
  </si>
  <si>
    <t>Cas G.E.A.</t>
  </si>
  <si>
    <t>Quantités d'Unité d'Œuvres</t>
  </si>
  <si>
    <t>Valeur UO</t>
  </si>
  <si>
    <t>HMACH pourquoi pas usinage seulement ?</t>
  </si>
  <si>
    <t>Réponse : l'énoncé est comme cela</t>
  </si>
  <si>
    <t>les charges indirectes usinage sont partiellement communes avec le montage (ex EDF, taxes…)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</si>
</sst>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0\ _€_-;\-* #,##0.0\ _€_-;_-* &quot;-&quot;??\ _€_-;_-@_-"/>
    <numFmt numFmtId="167" formatCode="_-* #,##0\ _€_-;\-* #,##0\ _€_-;_-* &quot;-&quot;??\ _€_-;_-@_-"/>
    <numFmt numFmtId="168" formatCode="_-* #,##0.0\ _€_-;\-* #,##0.0\ _€_-;_-* &quot;-&quot;?\ _€_-;_-@_-"/>
    <numFmt numFmtId="169" formatCode="0.000%"/>
    <numFmt numFmtId="170" formatCode="&quot;Vrai&quot;;&quot;Vrai&quot;;&quot;Faux&quot;"/>
    <numFmt numFmtId="171" formatCode="&quot;Actif&quot;;&quot;Actif&quot;;&quot;Inactif&quot;"/>
    <numFmt numFmtId="172" formatCode="[$€-2]\ #,##0.00_);[Red]\([$€-2]\ #,##0.00\)"/>
    <numFmt numFmtId="173" formatCode="_-* #,##0.000\ _€_-;\-* #,##0.000\ _€_-;_-* &quot;-&quot;???\ _€_-;_-@_-"/>
    <numFmt numFmtId="174" formatCode="_-* #,##0.0000\ _€_-;\-* #,##0.0000\ _€_-;_-* &quot;-&quot;????\ _€_-;_-@_-"/>
    <numFmt numFmtId="175" formatCode="#,##0.000"/>
  </numFmts>
  <fonts count="47">
    <font>
      <sz val="10"/>
      <name val="Arial"/>
      <family val="0"/>
    </font>
    <font>
      <sz val="11"/>
      <name val="Arial"/>
      <family val="2"/>
    </font>
    <font>
      <b/>
      <sz val="11"/>
      <name val="Arial"/>
      <family val="2"/>
    </font>
    <font>
      <b/>
      <sz val="20"/>
      <name val="Arial"/>
      <family val="2"/>
    </font>
    <font>
      <i/>
      <sz val="11"/>
      <name val="Arial"/>
      <family val="2"/>
    </font>
    <font>
      <b/>
      <i/>
      <sz val="11"/>
      <name val="Arial"/>
      <family val="2"/>
    </font>
    <font>
      <b/>
      <sz val="10"/>
      <name val="Arial"/>
      <family val="2"/>
    </font>
    <font>
      <sz val="12"/>
      <name val="Times New Roman"/>
      <family val="1"/>
    </font>
    <font>
      <u val="single"/>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2"/>
        <bgColor indexed="64"/>
      </patternFill>
    </fill>
    <fill>
      <patternFill patternType="solid">
        <fgColor theme="3" tint="0.799979984760284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style="medium"/>
      <bottom>
        <color indexed="63"/>
      </bottom>
    </border>
    <border>
      <left style="medium"/>
      <right style="medium"/>
      <top>
        <color indexed="63"/>
      </top>
      <bottom style="thin"/>
    </border>
    <border>
      <left>
        <color indexed="63"/>
      </left>
      <right style="thin"/>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medium"/>
      <bottom style="thin"/>
    </border>
    <border>
      <left style="thin"/>
      <right style="thin"/>
      <top style="medium"/>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style="thin"/>
      <top style="thin"/>
      <bottom style="thin"/>
    </border>
    <border>
      <left style="thin"/>
      <right style="thin"/>
      <top style="medium"/>
      <bottom style="medium"/>
    </border>
    <border>
      <left>
        <color indexed="63"/>
      </left>
      <right>
        <color indexed="63"/>
      </right>
      <top style="medium"/>
      <bottom style="medium"/>
    </border>
    <border>
      <left style="thin"/>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style="thin"/>
      <right style="medium"/>
      <top style="medium"/>
      <bottom style="medium"/>
    </border>
    <border>
      <left style="thin"/>
      <right style="thin"/>
      <top>
        <color indexed="63"/>
      </top>
      <bottom style="medium"/>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style="medium"/>
      <top style="thin"/>
      <bottom>
        <color indexed="63"/>
      </bottom>
    </border>
    <border>
      <left style="thin"/>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medium"/>
      <right style="thin"/>
      <top style="medium"/>
      <bottom style="mediu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317">
    <xf numFmtId="0" fontId="0" fillId="0" borderId="0" xfId="0" applyAlignment="1">
      <alignment/>
    </xf>
    <xf numFmtId="4" fontId="1" fillId="0" borderId="0" xfId="0" applyNumberFormat="1" applyFont="1" applyAlignment="1">
      <alignment/>
    </xf>
    <xf numFmtId="4" fontId="2" fillId="0" borderId="0" xfId="0" applyNumberFormat="1" applyFont="1" applyAlignment="1">
      <alignment/>
    </xf>
    <xf numFmtId="4" fontId="1" fillId="0" borderId="0" xfId="0" applyNumberFormat="1" applyFont="1" applyAlignment="1">
      <alignment horizontal="right"/>
    </xf>
    <xf numFmtId="4" fontId="2" fillId="0" borderId="0" xfId="0" applyNumberFormat="1" applyFont="1" applyAlignment="1">
      <alignment horizontal="left"/>
    </xf>
    <xf numFmtId="4" fontId="1" fillId="0" borderId="0" xfId="0" applyNumberFormat="1" applyFont="1" applyAlignment="1">
      <alignment horizontal="left" wrapText="1"/>
    </xf>
    <xf numFmtId="4" fontId="1" fillId="33" borderId="10" xfId="0" applyNumberFormat="1" applyFont="1" applyFill="1" applyBorder="1" applyAlignment="1">
      <alignment/>
    </xf>
    <xf numFmtId="4" fontId="2" fillId="33" borderId="11" xfId="0" applyNumberFormat="1" applyFont="1" applyFill="1" applyBorder="1" applyAlignment="1">
      <alignment horizontal="center"/>
    </xf>
    <xf numFmtId="4" fontId="1" fillId="33" borderId="12" xfId="0" applyNumberFormat="1" applyFont="1" applyFill="1" applyBorder="1" applyAlignment="1">
      <alignment horizontal="center"/>
    </xf>
    <xf numFmtId="4" fontId="1" fillId="33" borderId="13" xfId="0" applyNumberFormat="1" applyFont="1" applyFill="1" applyBorder="1" applyAlignment="1">
      <alignment horizontal="center"/>
    </xf>
    <xf numFmtId="4" fontId="1" fillId="33" borderId="14" xfId="0" applyNumberFormat="1" applyFont="1" applyFill="1" applyBorder="1" applyAlignment="1">
      <alignment horizontal="center"/>
    </xf>
    <xf numFmtId="4" fontId="1" fillId="33" borderId="15" xfId="0" applyNumberFormat="1" applyFont="1" applyFill="1" applyBorder="1" applyAlignment="1">
      <alignment horizontal="center"/>
    </xf>
    <xf numFmtId="4" fontId="1" fillId="33" borderId="16" xfId="0" applyNumberFormat="1" applyFont="1" applyFill="1" applyBorder="1" applyAlignment="1">
      <alignment horizontal="center"/>
    </xf>
    <xf numFmtId="4" fontId="1" fillId="33" borderId="17" xfId="0" applyNumberFormat="1" applyFont="1" applyFill="1" applyBorder="1" applyAlignment="1">
      <alignment horizontal="center"/>
    </xf>
    <xf numFmtId="4" fontId="1" fillId="33" borderId="15" xfId="0" applyNumberFormat="1" applyFont="1" applyFill="1" applyBorder="1" applyAlignment="1">
      <alignment horizontal="center" wrapText="1"/>
    </xf>
    <xf numFmtId="4" fontId="2" fillId="33" borderId="18" xfId="0" applyNumberFormat="1" applyFont="1" applyFill="1" applyBorder="1" applyAlignment="1">
      <alignment horizontal="center"/>
    </xf>
    <xf numFmtId="4" fontId="4" fillId="0" borderId="19" xfId="0" applyNumberFormat="1" applyFont="1" applyBorder="1" applyAlignment="1">
      <alignment horizontal="right"/>
    </xf>
    <xf numFmtId="4" fontId="4" fillId="0" borderId="19" xfId="0" applyNumberFormat="1" applyFont="1" applyBorder="1" applyAlignment="1">
      <alignment/>
    </xf>
    <xf numFmtId="10" fontId="4" fillId="0" borderId="20" xfId="52" applyNumberFormat="1" applyFont="1" applyBorder="1" applyAlignment="1">
      <alignment/>
    </xf>
    <xf numFmtId="10" fontId="4" fillId="0" borderId="21" xfId="52" applyNumberFormat="1" applyFont="1" applyBorder="1" applyAlignment="1">
      <alignment/>
    </xf>
    <xf numFmtId="9" fontId="5" fillId="0" borderId="19" xfId="52" applyFont="1" applyBorder="1" applyAlignment="1">
      <alignment/>
    </xf>
    <xf numFmtId="4" fontId="4" fillId="0" borderId="0" xfId="0" applyNumberFormat="1" applyFont="1" applyAlignment="1">
      <alignment/>
    </xf>
    <xf numFmtId="4" fontId="1" fillId="0" borderId="19" xfId="0" applyNumberFormat="1" applyFont="1" applyBorder="1" applyAlignment="1">
      <alignment/>
    </xf>
    <xf numFmtId="4" fontId="1" fillId="0" borderId="20" xfId="0" applyNumberFormat="1" applyFont="1" applyBorder="1" applyAlignment="1">
      <alignment/>
    </xf>
    <xf numFmtId="4" fontId="1" fillId="0" borderId="21" xfId="0" applyNumberFormat="1" applyFont="1" applyBorder="1" applyAlignment="1">
      <alignment/>
    </xf>
    <xf numFmtId="4" fontId="2" fillId="0" borderId="19" xfId="0" applyNumberFormat="1" applyFont="1" applyBorder="1" applyAlignment="1">
      <alignment/>
    </xf>
    <xf numFmtId="4" fontId="4" fillId="0" borderId="20" xfId="0" applyNumberFormat="1" applyFont="1" applyBorder="1" applyAlignment="1">
      <alignment/>
    </xf>
    <xf numFmtId="4" fontId="4" fillId="0" borderId="0" xfId="0" applyNumberFormat="1" applyFont="1" applyBorder="1" applyAlignment="1">
      <alignment/>
    </xf>
    <xf numFmtId="4" fontId="4" fillId="0" borderId="21" xfId="0" applyNumberFormat="1" applyFont="1" applyBorder="1" applyAlignment="1">
      <alignment/>
    </xf>
    <xf numFmtId="4" fontId="4" fillId="0" borderId="22" xfId="0" applyNumberFormat="1" applyFont="1" applyBorder="1" applyAlignment="1">
      <alignment/>
    </xf>
    <xf numFmtId="4" fontId="1" fillId="0" borderId="0" xfId="0" applyNumberFormat="1" applyFont="1" applyBorder="1" applyAlignment="1">
      <alignment/>
    </xf>
    <xf numFmtId="4" fontId="1" fillId="0" borderId="23" xfId="0" applyNumberFormat="1" applyFont="1" applyBorder="1" applyAlignment="1">
      <alignment/>
    </xf>
    <xf numFmtId="9" fontId="2" fillId="0" borderId="19" xfId="52" applyFont="1" applyBorder="1" applyAlignment="1">
      <alignment/>
    </xf>
    <xf numFmtId="4" fontId="1" fillId="0" borderId="21" xfId="0" applyNumberFormat="1" applyFont="1" applyBorder="1" applyAlignment="1">
      <alignment horizontal="center" wrapText="1"/>
    </xf>
    <xf numFmtId="4" fontId="1" fillId="0" borderId="0" xfId="0" applyNumberFormat="1" applyFont="1" applyBorder="1" applyAlignment="1">
      <alignment wrapText="1"/>
    </xf>
    <xf numFmtId="4" fontId="1" fillId="0" borderId="24" xfId="0" applyNumberFormat="1" applyFont="1" applyBorder="1" applyAlignment="1">
      <alignment wrapText="1"/>
    </xf>
    <xf numFmtId="4" fontId="1" fillId="0" borderId="21" xfId="0" applyNumberFormat="1" applyFont="1" applyBorder="1" applyAlignment="1">
      <alignment wrapText="1"/>
    </xf>
    <xf numFmtId="4" fontId="1" fillId="0" borderId="23" xfId="0" applyNumberFormat="1" applyFont="1" applyBorder="1" applyAlignment="1">
      <alignment wrapText="1"/>
    </xf>
    <xf numFmtId="4" fontId="2" fillId="0" borderId="0" xfId="0" applyNumberFormat="1" applyFont="1" applyBorder="1" applyAlignment="1">
      <alignment/>
    </xf>
    <xf numFmtId="4" fontId="2" fillId="0" borderId="22" xfId="0" applyNumberFormat="1" applyFont="1" applyBorder="1" applyAlignment="1">
      <alignment/>
    </xf>
    <xf numFmtId="4" fontId="1" fillId="33" borderId="25" xfId="0" applyNumberFormat="1" applyFont="1" applyFill="1" applyBorder="1" applyAlignment="1">
      <alignment/>
    </xf>
    <xf numFmtId="4" fontId="1" fillId="33" borderId="26" xfId="0" applyNumberFormat="1" applyFont="1" applyFill="1" applyBorder="1" applyAlignment="1">
      <alignment/>
    </xf>
    <xf numFmtId="4" fontId="1" fillId="33" borderId="27" xfId="0" applyNumberFormat="1" applyFont="1" applyFill="1" applyBorder="1" applyAlignment="1">
      <alignment/>
    </xf>
    <xf numFmtId="4" fontId="2" fillId="0" borderId="0" xfId="0" applyNumberFormat="1" applyFont="1" applyAlignment="1">
      <alignment/>
    </xf>
    <xf numFmtId="4" fontId="2" fillId="33" borderId="28" xfId="0" applyNumberFormat="1" applyFont="1" applyFill="1" applyBorder="1" applyAlignment="1">
      <alignment/>
    </xf>
    <xf numFmtId="4" fontId="1" fillId="0" borderId="0" xfId="0" applyNumberFormat="1" applyFont="1" applyAlignment="1">
      <alignment horizontal="center"/>
    </xf>
    <xf numFmtId="4" fontId="2" fillId="0" borderId="0" xfId="0" applyNumberFormat="1" applyFont="1" applyAlignment="1">
      <alignment horizontal="center"/>
    </xf>
    <xf numFmtId="4" fontId="2" fillId="0" borderId="29" xfId="0" applyNumberFormat="1" applyFont="1" applyBorder="1" applyAlignment="1">
      <alignment wrapText="1"/>
    </xf>
    <xf numFmtId="4" fontId="2" fillId="0" borderId="30" xfId="0" applyNumberFormat="1" applyFont="1" applyBorder="1" applyAlignment="1">
      <alignment/>
    </xf>
    <xf numFmtId="4" fontId="2" fillId="0" borderId="23" xfId="0" applyNumberFormat="1" applyFont="1" applyBorder="1" applyAlignment="1">
      <alignment/>
    </xf>
    <xf numFmtId="4" fontId="1" fillId="0" borderId="23" xfId="0" applyNumberFormat="1" applyFont="1" applyBorder="1" applyAlignment="1">
      <alignment wrapText="1" shrinkToFit="1"/>
    </xf>
    <xf numFmtId="10" fontId="1" fillId="0" borderId="31" xfId="52" applyNumberFormat="1" applyFont="1" applyBorder="1" applyAlignment="1">
      <alignment/>
    </xf>
    <xf numFmtId="10" fontId="1" fillId="0" borderId="0" xfId="52" applyNumberFormat="1" applyFont="1" applyBorder="1" applyAlignment="1">
      <alignment/>
    </xf>
    <xf numFmtId="3" fontId="1" fillId="0" borderId="20" xfId="0" applyNumberFormat="1" applyFont="1" applyBorder="1" applyAlignment="1">
      <alignment horizontal="right"/>
    </xf>
    <xf numFmtId="3" fontId="1" fillId="0" borderId="0" xfId="0" applyNumberFormat="1" applyFont="1" applyBorder="1" applyAlignment="1">
      <alignment horizontal="right"/>
    </xf>
    <xf numFmtId="3" fontId="1" fillId="0" borderId="21" xfId="0" applyNumberFormat="1" applyFont="1" applyBorder="1" applyAlignment="1">
      <alignment horizontal="right"/>
    </xf>
    <xf numFmtId="3" fontId="2" fillId="0" borderId="19" xfId="0" applyNumberFormat="1" applyFont="1" applyBorder="1" applyAlignment="1">
      <alignment horizontal="right"/>
    </xf>
    <xf numFmtId="3" fontId="1" fillId="0" borderId="22" xfId="0" applyNumberFormat="1" applyFont="1" applyBorder="1" applyAlignment="1">
      <alignment horizontal="right" wrapText="1"/>
    </xf>
    <xf numFmtId="3" fontId="1" fillId="0" borderId="20" xfId="0" applyNumberFormat="1" applyFont="1" applyBorder="1" applyAlignment="1">
      <alignment/>
    </xf>
    <xf numFmtId="3" fontId="1" fillId="0" borderId="21" xfId="0" applyNumberFormat="1" applyFont="1" applyBorder="1" applyAlignment="1">
      <alignment/>
    </xf>
    <xf numFmtId="3" fontId="2" fillId="0" borderId="19" xfId="0" applyNumberFormat="1" applyFont="1" applyBorder="1" applyAlignment="1">
      <alignment/>
    </xf>
    <xf numFmtId="3" fontId="1" fillId="0" borderId="0" xfId="0" applyNumberFormat="1" applyFont="1" applyBorder="1" applyAlignment="1">
      <alignment/>
    </xf>
    <xf numFmtId="3" fontId="1" fillId="0" borderId="23" xfId="0" applyNumberFormat="1" applyFont="1" applyBorder="1" applyAlignment="1">
      <alignment/>
    </xf>
    <xf numFmtId="3" fontId="1" fillId="0" borderId="24" xfId="0" applyNumberFormat="1" applyFont="1" applyBorder="1" applyAlignment="1">
      <alignment/>
    </xf>
    <xf numFmtId="3" fontId="1" fillId="0" borderId="22" xfId="0" applyNumberFormat="1" applyFont="1" applyBorder="1" applyAlignment="1">
      <alignment/>
    </xf>
    <xf numFmtId="3" fontId="1" fillId="0" borderId="31" xfId="0" applyNumberFormat="1" applyFont="1" applyBorder="1" applyAlignment="1">
      <alignment/>
    </xf>
    <xf numFmtId="3" fontId="2" fillId="0" borderId="23" xfId="0" applyNumberFormat="1" applyFont="1" applyBorder="1" applyAlignment="1">
      <alignment/>
    </xf>
    <xf numFmtId="3" fontId="2" fillId="0" borderId="31" xfId="0" applyNumberFormat="1" applyFont="1" applyBorder="1" applyAlignment="1">
      <alignment/>
    </xf>
    <xf numFmtId="3" fontId="2" fillId="0" borderId="28" xfId="0" applyNumberFormat="1" applyFont="1" applyBorder="1" applyAlignment="1">
      <alignment/>
    </xf>
    <xf numFmtId="4" fontId="2" fillId="34" borderId="32" xfId="0" applyNumberFormat="1" applyFont="1" applyFill="1" applyBorder="1" applyAlignment="1">
      <alignment/>
    </xf>
    <xf numFmtId="3" fontId="2" fillId="34" borderId="33" xfId="0" applyNumberFormat="1" applyFont="1" applyFill="1" applyBorder="1" applyAlignment="1">
      <alignment/>
    </xf>
    <xf numFmtId="3" fontId="2" fillId="34" borderId="34" xfId="0" applyNumberFormat="1" applyFont="1" applyFill="1" applyBorder="1" applyAlignment="1">
      <alignment/>
    </xf>
    <xf numFmtId="3" fontId="2" fillId="34" borderId="35" xfId="0" applyNumberFormat="1" applyFont="1" applyFill="1" applyBorder="1" applyAlignment="1">
      <alignment/>
    </xf>
    <xf numFmtId="3" fontId="2" fillId="34" borderId="32" xfId="0" applyNumberFormat="1" applyFont="1" applyFill="1" applyBorder="1" applyAlignment="1">
      <alignment horizontal="right"/>
    </xf>
    <xf numFmtId="3" fontId="2" fillId="34" borderId="36" xfId="0" applyNumberFormat="1" applyFont="1" applyFill="1" applyBorder="1" applyAlignment="1">
      <alignment/>
    </xf>
    <xf numFmtId="3" fontId="2" fillId="34" borderId="32" xfId="0" applyNumberFormat="1" applyFont="1" applyFill="1" applyBorder="1" applyAlignment="1">
      <alignment/>
    </xf>
    <xf numFmtId="4" fontId="2" fillId="0" borderId="19" xfId="0" applyNumberFormat="1" applyFont="1" applyBorder="1" applyAlignment="1">
      <alignment/>
    </xf>
    <xf numFmtId="4" fontId="1" fillId="0" borderId="0" xfId="0" applyNumberFormat="1" applyFont="1" applyBorder="1" applyAlignment="1">
      <alignment horizontal="center" wrapText="1"/>
    </xf>
    <xf numFmtId="4" fontId="2" fillId="34" borderId="29" xfId="0" applyNumberFormat="1" applyFont="1" applyFill="1" applyBorder="1" applyAlignment="1">
      <alignment wrapText="1"/>
    </xf>
    <xf numFmtId="4" fontId="2" fillId="34" borderId="29" xfId="0" applyNumberFormat="1" applyFont="1" applyFill="1" applyBorder="1" applyAlignment="1">
      <alignment/>
    </xf>
    <xf numFmtId="4" fontId="2" fillId="34" borderId="37" xfId="0" applyNumberFormat="1" applyFont="1" applyFill="1" applyBorder="1" applyAlignment="1">
      <alignment/>
    </xf>
    <xf numFmtId="3" fontId="2" fillId="34" borderId="30" xfId="0" applyNumberFormat="1" applyFont="1" applyFill="1" applyBorder="1" applyAlignment="1">
      <alignment/>
    </xf>
    <xf numFmtId="3" fontId="2" fillId="34" borderId="38" xfId="0" applyNumberFormat="1" applyFont="1" applyFill="1" applyBorder="1" applyAlignment="1">
      <alignment/>
    </xf>
    <xf numFmtId="3" fontId="2" fillId="34" borderId="29" xfId="0" applyNumberFormat="1" applyFont="1" applyFill="1" applyBorder="1" applyAlignment="1">
      <alignment/>
    </xf>
    <xf numFmtId="4" fontId="2" fillId="0" borderId="23" xfId="0" applyNumberFormat="1" applyFont="1" applyBorder="1" applyAlignment="1">
      <alignment/>
    </xf>
    <xf numFmtId="4" fontId="2" fillId="0" borderId="24" xfId="0" applyNumberFormat="1" applyFont="1" applyBorder="1" applyAlignment="1">
      <alignment/>
    </xf>
    <xf numFmtId="4" fontId="2" fillId="0" borderId="31" xfId="0" applyNumberFormat="1" applyFont="1" applyBorder="1" applyAlignment="1">
      <alignment/>
    </xf>
    <xf numFmtId="4" fontId="2" fillId="0" borderId="0" xfId="0" applyNumberFormat="1" applyFont="1" applyBorder="1" applyAlignment="1">
      <alignment/>
    </xf>
    <xf numFmtId="4" fontId="2" fillId="34" borderId="30" xfId="0" applyNumberFormat="1" applyFont="1" applyFill="1" applyBorder="1" applyAlignment="1">
      <alignment/>
    </xf>
    <xf numFmtId="4" fontId="2" fillId="34" borderId="38" xfId="0" applyNumberFormat="1" applyFont="1" applyFill="1" applyBorder="1" applyAlignment="1">
      <alignment/>
    </xf>
    <xf numFmtId="3" fontId="1" fillId="35" borderId="39" xfId="0" applyNumberFormat="1" applyFont="1" applyFill="1" applyBorder="1" applyAlignment="1">
      <alignment horizontal="right"/>
    </xf>
    <xf numFmtId="4" fontId="1" fillId="0" borderId="36" xfId="0" applyNumberFormat="1" applyFont="1" applyBorder="1" applyAlignment="1">
      <alignment horizontal="left" wrapText="1"/>
    </xf>
    <xf numFmtId="4" fontId="0" fillId="0" borderId="0" xfId="0" applyNumberFormat="1" applyFont="1" applyAlignment="1">
      <alignment/>
    </xf>
    <xf numFmtId="169" fontId="0" fillId="0" borderId="0" xfId="0" applyNumberFormat="1" applyFont="1" applyAlignment="1">
      <alignment/>
    </xf>
    <xf numFmtId="4" fontId="6" fillId="0" borderId="0" xfId="0" applyNumberFormat="1" applyFont="1" applyAlignment="1">
      <alignment/>
    </xf>
    <xf numFmtId="4" fontId="0" fillId="0" borderId="0" xfId="0" applyNumberFormat="1" applyFont="1" applyAlignment="1">
      <alignment horizontal="center"/>
    </xf>
    <xf numFmtId="4" fontId="6" fillId="0" borderId="0" xfId="0" applyNumberFormat="1" applyFont="1" applyAlignment="1">
      <alignment horizontal="center"/>
    </xf>
    <xf numFmtId="4" fontId="1" fillId="0" borderId="24" xfId="0" applyNumberFormat="1" applyFont="1" applyBorder="1" applyAlignment="1">
      <alignment horizontal="center" wrapText="1"/>
    </xf>
    <xf numFmtId="4" fontId="1" fillId="0" borderId="0" xfId="0" applyNumberFormat="1" applyFont="1" applyBorder="1" applyAlignment="1">
      <alignment horizontal="center" wrapText="1"/>
    </xf>
    <xf numFmtId="4" fontId="1" fillId="33" borderId="13" xfId="0" applyNumberFormat="1" applyFont="1" applyFill="1" applyBorder="1" applyAlignment="1">
      <alignment horizontal="center"/>
    </xf>
    <xf numFmtId="4" fontId="4" fillId="0" borderId="19" xfId="0" applyNumberFormat="1" applyFont="1" applyBorder="1" applyAlignment="1">
      <alignment/>
    </xf>
    <xf numFmtId="41" fontId="1" fillId="0" borderId="36" xfId="0" applyNumberFormat="1" applyFont="1" applyBorder="1" applyAlignment="1">
      <alignment horizontal="left" wrapText="1"/>
    </xf>
    <xf numFmtId="41" fontId="1" fillId="35" borderId="36" xfId="0" applyNumberFormat="1" applyFont="1" applyFill="1" applyBorder="1" applyAlignment="1">
      <alignment horizontal="left" wrapText="1"/>
    </xf>
    <xf numFmtId="9" fontId="0" fillId="0" borderId="36" xfId="0" applyNumberFormat="1" applyFont="1" applyBorder="1" applyAlignment="1">
      <alignment horizontal="center"/>
    </xf>
    <xf numFmtId="169" fontId="0" fillId="0" borderId="36" xfId="0" applyNumberFormat="1" applyFont="1" applyBorder="1" applyAlignment="1">
      <alignment horizontal="center"/>
    </xf>
    <xf numFmtId="4" fontId="1" fillId="35" borderId="20" xfId="0" applyNumberFormat="1" applyFont="1" applyFill="1" applyBorder="1" applyAlignment="1">
      <alignment horizontal="center"/>
    </xf>
    <xf numFmtId="4" fontId="1" fillId="35" borderId="24" xfId="0" applyNumberFormat="1" applyFont="1" applyFill="1" applyBorder="1" applyAlignment="1">
      <alignment horizontal="center" wrapText="1"/>
    </xf>
    <xf numFmtId="41" fontId="2" fillId="35" borderId="40" xfId="0" applyNumberFormat="1" applyFont="1" applyFill="1" applyBorder="1" applyAlignment="1">
      <alignment/>
    </xf>
    <xf numFmtId="3" fontId="1" fillId="35" borderId="23" xfId="0" applyNumberFormat="1" applyFont="1" applyFill="1" applyBorder="1" applyAlignment="1">
      <alignment/>
    </xf>
    <xf numFmtId="3" fontId="1" fillId="35" borderId="0" xfId="0" applyNumberFormat="1" applyFont="1" applyFill="1" applyBorder="1" applyAlignment="1">
      <alignment/>
    </xf>
    <xf numFmtId="4" fontId="1" fillId="0" borderId="36" xfId="0" applyNumberFormat="1" applyFont="1" applyBorder="1" applyAlignment="1">
      <alignment horizontal="left" wrapText="1"/>
    </xf>
    <xf numFmtId="4" fontId="1" fillId="35" borderId="36" xfId="0" applyNumberFormat="1" applyFont="1" applyFill="1" applyBorder="1" applyAlignment="1">
      <alignment/>
    </xf>
    <xf numFmtId="4" fontId="1" fillId="0" borderId="0" xfId="0" applyNumberFormat="1" applyFont="1" applyBorder="1" applyAlignment="1">
      <alignment horizontal="left" wrapText="1"/>
    </xf>
    <xf numFmtId="9" fontId="0" fillId="0" borderId="0" xfId="0" applyNumberFormat="1" applyFont="1" applyAlignment="1">
      <alignment horizontal="left" wrapText="1"/>
    </xf>
    <xf numFmtId="41" fontId="1" fillId="0" borderId="36" xfId="0" applyNumberFormat="1" applyFont="1" applyBorder="1" applyAlignment="1">
      <alignment horizontal="left" wrapText="1"/>
    </xf>
    <xf numFmtId="41" fontId="1" fillId="0" borderId="0" xfId="0" applyNumberFormat="1" applyFont="1" applyBorder="1" applyAlignment="1">
      <alignment horizontal="left" wrapText="1"/>
    </xf>
    <xf numFmtId="41" fontId="1" fillId="0" borderId="0" xfId="0" applyNumberFormat="1" applyFont="1" applyAlignment="1">
      <alignment horizontal="left" wrapText="1"/>
    </xf>
    <xf numFmtId="42" fontId="1" fillId="0" borderId="36" xfId="0" applyNumberFormat="1" applyFont="1" applyBorder="1" applyAlignment="1">
      <alignment horizontal="left" wrapText="1"/>
    </xf>
    <xf numFmtId="42" fontId="1" fillId="0" borderId="36" xfId="0" applyNumberFormat="1" applyFont="1" applyBorder="1" applyAlignment="1">
      <alignment horizontal="left" wrapText="1"/>
    </xf>
    <xf numFmtId="42" fontId="1" fillId="0" borderId="0" xfId="0" applyNumberFormat="1" applyFont="1" applyBorder="1" applyAlignment="1">
      <alignment horizontal="left" wrapText="1"/>
    </xf>
    <xf numFmtId="42" fontId="1" fillId="0" borderId="0" xfId="0" applyNumberFormat="1" applyFont="1" applyAlignment="1">
      <alignment horizontal="left" wrapText="1"/>
    </xf>
    <xf numFmtId="44" fontId="1" fillId="0" borderId="36" xfId="0" applyNumberFormat="1" applyFont="1" applyBorder="1" applyAlignment="1">
      <alignment horizontal="left" wrapText="1"/>
    </xf>
    <xf numFmtId="44" fontId="1" fillId="0" borderId="0" xfId="0" applyNumberFormat="1" applyFont="1" applyBorder="1" applyAlignment="1">
      <alignment horizontal="left" wrapText="1"/>
    </xf>
    <xf numFmtId="44" fontId="1" fillId="0" borderId="0" xfId="0" applyNumberFormat="1" applyFont="1" applyAlignment="1">
      <alignment horizontal="left" wrapText="1"/>
    </xf>
    <xf numFmtId="44" fontId="1" fillId="0" borderId="36" xfId="0" applyNumberFormat="1" applyFont="1" applyBorder="1" applyAlignment="1">
      <alignment horizontal="left" wrapText="1"/>
    </xf>
    <xf numFmtId="4" fontId="1" fillId="0" borderId="0" xfId="0" applyNumberFormat="1" applyFont="1" applyBorder="1" applyAlignment="1">
      <alignment horizontal="left" wrapText="1"/>
    </xf>
    <xf numFmtId="4" fontId="1" fillId="0" borderId="0" xfId="0" applyNumberFormat="1" applyFont="1" applyAlignment="1">
      <alignment horizontal="left" wrapText="1"/>
    </xf>
    <xf numFmtId="44" fontId="1" fillId="0" borderId="24" xfId="0" applyNumberFormat="1" applyFont="1" applyBorder="1" applyAlignment="1">
      <alignment/>
    </xf>
    <xf numFmtId="4" fontId="1" fillId="33" borderId="19"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33" borderId="39" xfId="0" applyNumberFormat="1" applyFont="1" applyFill="1" applyBorder="1" applyAlignment="1">
      <alignment horizontal="center"/>
    </xf>
    <xf numFmtId="4" fontId="1" fillId="33" borderId="31" xfId="0" applyNumberFormat="1" applyFont="1" applyFill="1" applyBorder="1" applyAlignment="1">
      <alignment horizontal="center"/>
    </xf>
    <xf numFmtId="4" fontId="1" fillId="33" borderId="0" xfId="0" applyNumberFormat="1" applyFont="1" applyFill="1" applyBorder="1" applyAlignment="1">
      <alignment horizontal="center"/>
    </xf>
    <xf numFmtId="4" fontId="1" fillId="0" borderId="41" xfId="0" applyNumberFormat="1" applyFont="1" applyBorder="1" applyAlignment="1">
      <alignment wrapText="1"/>
    </xf>
    <xf numFmtId="3" fontId="1" fillId="0" borderId="42" xfId="0" applyNumberFormat="1" applyFont="1" applyBorder="1" applyAlignment="1">
      <alignment/>
    </xf>
    <xf numFmtId="3" fontId="1" fillId="0" borderId="39" xfId="0" applyNumberFormat="1" applyFont="1" applyBorder="1" applyAlignment="1">
      <alignment/>
    </xf>
    <xf numFmtId="3" fontId="1" fillId="0" borderId="43" xfId="0" applyNumberFormat="1" applyFont="1" applyBorder="1" applyAlignment="1">
      <alignment/>
    </xf>
    <xf numFmtId="3" fontId="1" fillId="0" borderId="44" xfId="0" applyNumberFormat="1" applyFont="1" applyBorder="1" applyAlignment="1">
      <alignment/>
    </xf>
    <xf numFmtId="3" fontId="1" fillId="0" borderId="45" xfId="0" applyNumberFormat="1" applyFont="1" applyBorder="1" applyAlignment="1">
      <alignment/>
    </xf>
    <xf numFmtId="4" fontId="1" fillId="0" borderId="22" xfId="0" applyNumberFormat="1" applyFont="1" applyBorder="1" applyAlignment="1">
      <alignment wrapText="1"/>
    </xf>
    <xf numFmtId="4" fontId="1" fillId="0" borderId="46" xfId="0" applyNumberFormat="1" applyFont="1" applyBorder="1" applyAlignment="1">
      <alignment wrapText="1"/>
    </xf>
    <xf numFmtId="3" fontId="1" fillId="0" borderId="47" xfId="0" applyNumberFormat="1" applyFont="1" applyBorder="1" applyAlignment="1">
      <alignment/>
    </xf>
    <xf numFmtId="3" fontId="1" fillId="0" borderId="48" xfId="0" applyNumberFormat="1" applyFont="1" applyBorder="1" applyAlignment="1">
      <alignment/>
    </xf>
    <xf numFmtId="3" fontId="1" fillId="0" borderId="49" xfId="0" applyNumberFormat="1" applyFont="1" applyBorder="1" applyAlignment="1">
      <alignment/>
    </xf>
    <xf numFmtId="3" fontId="1" fillId="0" borderId="50" xfId="0" applyNumberFormat="1" applyFont="1" applyBorder="1" applyAlignment="1">
      <alignment/>
    </xf>
    <xf numFmtId="3" fontId="1" fillId="0" borderId="51" xfId="0" applyNumberFormat="1" applyFont="1" applyBorder="1" applyAlignment="1">
      <alignment/>
    </xf>
    <xf numFmtId="0" fontId="7" fillId="0" borderId="39" xfId="0" applyFont="1" applyBorder="1" applyAlignment="1">
      <alignment/>
    </xf>
    <xf numFmtId="0" fontId="7" fillId="0" borderId="24" xfId="0" applyFont="1" applyBorder="1" applyAlignment="1">
      <alignment/>
    </xf>
    <xf numFmtId="0" fontId="7" fillId="0" borderId="48" xfId="0" applyFont="1" applyBorder="1" applyAlignment="1">
      <alignment/>
    </xf>
    <xf numFmtId="4" fontId="1" fillId="0" borderId="0" xfId="0" applyNumberFormat="1" applyFont="1" applyAlignment="1">
      <alignment horizontal="center"/>
    </xf>
    <xf numFmtId="4" fontId="2" fillId="34" borderId="52" xfId="0" applyNumberFormat="1" applyFont="1" applyFill="1" applyBorder="1" applyAlignment="1">
      <alignment/>
    </xf>
    <xf numFmtId="3" fontId="2" fillId="34" borderId="53" xfId="0" applyNumberFormat="1" applyFont="1" applyFill="1" applyBorder="1" applyAlignment="1">
      <alignment/>
    </xf>
    <xf numFmtId="3" fontId="2" fillId="34" borderId="26" xfId="0" applyNumberFormat="1" applyFont="1" applyFill="1" applyBorder="1" applyAlignment="1">
      <alignment/>
    </xf>
    <xf numFmtId="4" fontId="1" fillId="0" borderId="54" xfId="0" applyNumberFormat="1" applyFont="1" applyBorder="1" applyAlignment="1">
      <alignment/>
    </xf>
    <xf numFmtId="3" fontId="1" fillId="0" borderId="55" xfId="0" applyNumberFormat="1" applyFont="1" applyBorder="1" applyAlignment="1">
      <alignment/>
    </xf>
    <xf numFmtId="3" fontId="1" fillId="0" borderId="35" xfId="0" applyNumberFormat="1" applyFont="1" applyBorder="1" applyAlignment="1">
      <alignment/>
    </xf>
    <xf numFmtId="3" fontId="1" fillId="0" borderId="33" xfId="0" applyNumberFormat="1" applyFont="1" applyBorder="1" applyAlignment="1">
      <alignment/>
    </xf>
    <xf numFmtId="4" fontId="1" fillId="0" borderId="56" xfId="0" applyNumberFormat="1" applyFont="1" applyBorder="1" applyAlignment="1">
      <alignment wrapText="1"/>
    </xf>
    <xf numFmtId="3" fontId="2" fillId="0" borderId="0" xfId="0" applyNumberFormat="1" applyFont="1" applyBorder="1" applyAlignment="1">
      <alignment/>
    </xf>
    <xf numFmtId="3" fontId="1" fillId="0" borderId="0" xfId="0" applyNumberFormat="1" applyFont="1" applyAlignment="1">
      <alignment/>
    </xf>
    <xf numFmtId="3" fontId="8" fillId="0" borderId="0" xfId="0" applyNumberFormat="1" applyFont="1" applyAlignment="1">
      <alignment/>
    </xf>
    <xf numFmtId="42" fontId="2" fillId="0" borderId="0" xfId="0" applyNumberFormat="1" applyFont="1" applyBorder="1" applyAlignment="1">
      <alignment/>
    </xf>
    <xf numFmtId="42" fontId="2" fillId="0" borderId="22" xfId="0" applyNumberFormat="1" applyFont="1" applyBorder="1" applyAlignment="1">
      <alignment/>
    </xf>
    <xf numFmtId="174" fontId="1" fillId="33" borderId="57" xfId="0" applyNumberFormat="1" applyFont="1" applyFill="1" applyBorder="1" applyAlignment="1">
      <alignment/>
    </xf>
    <xf numFmtId="4" fontId="1" fillId="0" borderId="0" xfId="0" applyNumberFormat="1" applyFont="1" applyAlignment="1">
      <alignment/>
    </xf>
    <xf numFmtId="43" fontId="1" fillId="0" borderId="24" xfId="0" applyNumberFormat="1" applyFont="1" applyBorder="1" applyAlignment="1">
      <alignment horizontal="center"/>
    </xf>
    <xf numFmtId="43" fontId="2" fillId="34" borderId="37" xfId="0" applyNumberFormat="1" applyFont="1" applyFill="1" applyBorder="1" applyAlignment="1">
      <alignment/>
    </xf>
    <xf numFmtId="43" fontId="1" fillId="0" borderId="24" xfId="0" applyNumberFormat="1" applyFont="1" applyBorder="1" applyAlignment="1">
      <alignment/>
    </xf>
    <xf numFmtId="43" fontId="2" fillId="0" borderId="24" xfId="0" applyNumberFormat="1" applyFont="1" applyBorder="1" applyAlignment="1">
      <alignment/>
    </xf>
    <xf numFmtId="43" fontId="1" fillId="0" borderId="36" xfId="0" applyNumberFormat="1" applyFont="1" applyBorder="1" applyAlignment="1">
      <alignment/>
    </xf>
    <xf numFmtId="43" fontId="2" fillId="34" borderId="58" xfId="0" applyNumberFormat="1" applyFont="1" applyFill="1" applyBorder="1" applyAlignment="1">
      <alignment/>
    </xf>
    <xf numFmtId="43" fontId="2" fillId="0" borderId="59" xfId="0" applyNumberFormat="1" applyFont="1" applyBorder="1" applyAlignment="1">
      <alignment/>
    </xf>
    <xf numFmtId="43" fontId="1" fillId="0" borderId="24" xfId="52" applyNumberFormat="1" applyFont="1" applyBorder="1" applyAlignment="1">
      <alignment/>
    </xf>
    <xf numFmtId="4" fontId="1" fillId="0" borderId="39" xfId="0" applyNumberFormat="1" applyFont="1" applyBorder="1" applyAlignment="1">
      <alignment/>
    </xf>
    <xf numFmtId="4" fontId="1" fillId="0" borderId="48" xfId="0" applyNumberFormat="1" applyFont="1" applyBorder="1" applyAlignment="1">
      <alignment/>
    </xf>
    <xf numFmtId="4" fontId="2" fillId="0" borderId="39" xfId="0" applyNumberFormat="1" applyFont="1" applyBorder="1" applyAlignment="1">
      <alignment/>
    </xf>
    <xf numFmtId="4" fontId="1" fillId="0" borderId="29" xfId="0" applyNumberFormat="1" applyFont="1" applyBorder="1" applyAlignment="1">
      <alignment/>
    </xf>
    <xf numFmtId="41" fontId="1" fillId="0" borderId="29" xfId="0" applyNumberFormat="1" applyFont="1" applyBorder="1" applyAlignment="1">
      <alignment/>
    </xf>
    <xf numFmtId="41" fontId="1" fillId="0" borderId="37" xfId="0" applyNumberFormat="1" applyFont="1" applyBorder="1" applyAlignment="1">
      <alignment/>
    </xf>
    <xf numFmtId="41" fontId="1" fillId="0" borderId="38" xfId="0" applyNumberFormat="1" applyFont="1" applyBorder="1" applyAlignment="1">
      <alignment/>
    </xf>
    <xf numFmtId="41" fontId="1" fillId="0" borderId="39" xfId="0" applyNumberFormat="1" applyFont="1" applyBorder="1" applyAlignment="1">
      <alignment horizontal="left" wrapText="1"/>
    </xf>
    <xf numFmtId="4" fontId="1" fillId="0" borderId="39" xfId="0" applyNumberFormat="1" applyFont="1" applyBorder="1" applyAlignment="1">
      <alignment horizontal="left" wrapText="1"/>
    </xf>
    <xf numFmtId="42" fontId="1" fillId="0" borderId="39" xfId="0" applyNumberFormat="1" applyFont="1" applyBorder="1" applyAlignment="1">
      <alignment horizontal="left" wrapText="1"/>
    </xf>
    <xf numFmtId="4" fontId="1" fillId="0" borderId="36" xfId="0" applyNumberFormat="1" applyFont="1" applyBorder="1" applyAlignment="1">
      <alignment/>
    </xf>
    <xf numFmtId="41" fontId="1" fillId="35" borderId="36" xfId="0" applyNumberFormat="1" applyFont="1" applyFill="1" applyBorder="1" applyAlignment="1">
      <alignment horizontal="left" wrapText="1"/>
    </xf>
    <xf numFmtId="4" fontId="1" fillId="35" borderId="36" xfId="0" applyNumberFormat="1" applyFont="1" applyFill="1" applyBorder="1" applyAlignment="1">
      <alignment horizontal="left" wrapText="1"/>
    </xf>
    <xf numFmtId="42" fontId="1" fillId="35" borderId="36" xfId="0" applyNumberFormat="1" applyFont="1" applyFill="1" applyBorder="1" applyAlignment="1">
      <alignment horizontal="left" wrapText="1"/>
    </xf>
    <xf numFmtId="4" fontId="1" fillId="0" borderId="41" xfId="0" applyNumberFormat="1" applyFont="1" applyBorder="1" applyAlignment="1">
      <alignment horizontal="left" wrapText="1"/>
    </xf>
    <xf numFmtId="4" fontId="1" fillId="0" borderId="44" xfId="0" applyNumberFormat="1" applyFont="1" applyBorder="1" applyAlignment="1">
      <alignment horizontal="left" wrapText="1"/>
    </xf>
    <xf numFmtId="44" fontId="1" fillId="0" borderId="45" xfId="0" applyNumberFormat="1" applyFont="1" applyBorder="1" applyAlignment="1">
      <alignment horizontal="left" wrapText="1"/>
    </xf>
    <xf numFmtId="10" fontId="1" fillId="0" borderId="46" xfId="0" applyNumberFormat="1" applyFont="1" applyBorder="1" applyAlignment="1">
      <alignment horizontal="left" wrapText="1"/>
    </xf>
    <xf numFmtId="4" fontId="1" fillId="0" borderId="51" xfId="0" applyNumberFormat="1" applyFont="1" applyBorder="1" applyAlignment="1">
      <alignment horizontal="left" wrapText="1"/>
    </xf>
    <xf numFmtId="44" fontId="1" fillId="0" borderId="50" xfId="0" applyNumberFormat="1" applyFont="1" applyBorder="1" applyAlignment="1">
      <alignment horizontal="left" wrapText="1"/>
    </xf>
    <xf numFmtId="41" fontId="1" fillId="0" borderId="41" xfId="0" applyNumberFormat="1" applyFont="1" applyBorder="1" applyAlignment="1">
      <alignment horizontal="left" wrapText="1"/>
    </xf>
    <xf numFmtId="41" fontId="1" fillId="0" borderId="22" xfId="0" applyNumberFormat="1" applyFont="1" applyBorder="1" applyAlignment="1">
      <alignment horizontal="left" wrapText="1"/>
    </xf>
    <xf numFmtId="44" fontId="1" fillId="0" borderId="20" xfId="0" applyNumberFormat="1" applyFont="1" applyBorder="1" applyAlignment="1">
      <alignment horizontal="left" wrapText="1"/>
    </xf>
    <xf numFmtId="9" fontId="1" fillId="0" borderId="46" xfId="0" applyNumberFormat="1" applyFont="1" applyBorder="1" applyAlignment="1">
      <alignment horizontal="left" wrapText="1"/>
    </xf>
    <xf numFmtId="4" fontId="1" fillId="0" borderId="51" xfId="0" applyNumberFormat="1" applyFont="1" applyBorder="1" applyAlignment="1">
      <alignment/>
    </xf>
    <xf numFmtId="0" fontId="0" fillId="0" borderId="0" xfId="0" applyAlignment="1">
      <alignment horizontal="center"/>
    </xf>
    <xf numFmtId="0" fontId="0" fillId="0" borderId="0" xfId="0" applyFont="1" applyAlignment="1">
      <alignment horizontal="center"/>
    </xf>
    <xf numFmtId="44" fontId="0" fillId="0" borderId="0" xfId="0" applyNumberFormat="1" applyAlignment="1">
      <alignment horizontal="center"/>
    </xf>
    <xf numFmtId="44" fontId="0" fillId="0" borderId="0" xfId="0" applyNumberFormat="1" applyAlignment="1">
      <alignment/>
    </xf>
    <xf numFmtId="41" fontId="0" fillId="0" borderId="0" xfId="0" applyNumberFormat="1" applyAlignment="1">
      <alignment horizontal="center"/>
    </xf>
    <xf numFmtId="41" fontId="0" fillId="0" borderId="0" xfId="0" applyNumberFormat="1" applyAlignment="1">
      <alignment/>
    </xf>
    <xf numFmtId="41" fontId="0" fillId="0" borderId="10" xfId="0" applyNumberFormat="1" applyBorder="1" applyAlignment="1">
      <alignment/>
    </xf>
    <xf numFmtId="0" fontId="0" fillId="0" borderId="28" xfId="0" applyFont="1" applyBorder="1" applyAlignment="1">
      <alignment horizontal="center"/>
    </xf>
    <xf numFmtId="0" fontId="0" fillId="0" borderId="60" xfId="0" applyFont="1" applyBorder="1" applyAlignment="1">
      <alignment horizontal="center"/>
    </xf>
    <xf numFmtId="4" fontId="0" fillId="0" borderId="60" xfId="0" applyNumberFormat="1" applyBorder="1" applyAlignment="1">
      <alignment horizontal="center"/>
    </xf>
    <xf numFmtId="0" fontId="0" fillId="0" borderId="60" xfId="0" applyBorder="1" applyAlignment="1">
      <alignment horizontal="center"/>
    </xf>
    <xf numFmtId="44" fontId="0" fillId="0" borderId="60" xfId="0" applyNumberFormat="1" applyBorder="1" applyAlignment="1">
      <alignment horizontal="center"/>
    </xf>
    <xf numFmtId="41" fontId="0" fillId="0" borderId="60" xfId="0" applyNumberFormat="1" applyBorder="1" applyAlignment="1">
      <alignment horizontal="center"/>
    </xf>
    <xf numFmtId="0" fontId="0" fillId="0" borderId="52" xfId="0" applyBorder="1" applyAlignment="1">
      <alignment horizontal="center"/>
    </xf>
    <xf numFmtId="0" fontId="0" fillId="0" borderId="26" xfId="0" applyFont="1" applyBorder="1" applyAlignment="1">
      <alignment horizontal="center"/>
    </xf>
    <xf numFmtId="0" fontId="0" fillId="0" borderId="26" xfId="0" applyBorder="1" applyAlignment="1">
      <alignment horizontal="center"/>
    </xf>
    <xf numFmtId="44" fontId="0" fillId="0" borderId="26" xfId="0" applyNumberFormat="1" applyBorder="1" applyAlignment="1">
      <alignment horizontal="center"/>
    </xf>
    <xf numFmtId="4" fontId="0" fillId="0" borderId="26" xfId="0" applyNumberFormat="1" applyBorder="1" applyAlignment="1">
      <alignment horizontal="center"/>
    </xf>
    <xf numFmtId="41" fontId="0" fillId="0" borderId="26" xfId="0" applyNumberFormat="1" applyBorder="1" applyAlignment="1">
      <alignment horizontal="center"/>
    </xf>
    <xf numFmtId="0" fontId="0" fillId="0" borderId="29" xfId="0" applyFont="1" applyBorder="1" applyAlignment="1">
      <alignment horizontal="center"/>
    </xf>
    <xf numFmtId="0" fontId="0" fillId="0" borderId="38" xfId="0" applyFont="1" applyBorder="1" applyAlignment="1">
      <alignment horizontal="center"/>
    </xf>
    <xf numFmtId="0" fontId="0" fillId="0" borderId="10" xfId="0" applyBorder="1" applyAlignment="1">
      <alignment horizontal="center"/>
    </xf>
    <xf numFmtId="41" fontId="0" fillId="0" borderId="10" xfId="0" applyNumberFormat="1" applyFont="1" applyBorder="1" applyAlignment="1">
      <alignment/>
    </xf>
    <xf numFmtId="0" fontId="0" fillId="0" borderId="0" xfId="0" applyFont="1" applyAlignment="1">
      <alignment/>
    </xf>
    <xf numFmtId="0" fontId="0" fillId="0" borderId="29" xfId="0" applyFont="1" applyBorder="1" applyAlignment="1">
      <alignment/>
    </xf>
    <xf numFmtId="0" fontId="0" fillId="0" borderId="38" xfId="0" applyFont="1" applyBorder="1" applyAlignment="1">
      <alignment/>
    </xf>
    <xf numFmtId="3" fontId="0" fillId="0" borderId="30" xfId="0" applyNumberFormat="1" applyBorder="1" applyAlignment="1">
      <alignment/>
    </xf>
    <xf numFmtId="10" fontId="0" fillId="36" borderId="10" xfId="0" applyNumberFormat="1" applyFill="1" applyBorder="1" applyAlignment="1">
      <alignment/>
    </xf>
    <xf numFmtId="41" fontId="0" fillId="0" borderId="30" xfId="0" applyNumberFormat="1" applyBorder="1" applyAlignment="1">
      <alignment/>
    </xf>
    <xf numFmtId="4" fontId="1" fillId="0" borderId="38" xfId="0" applyNumberFormat="1" applyFont="1" applyBorder="1" applyAlignment="1">
      <alignment/>
    </xf>
    <xf numFmtId="4" fontId="1" fillId="0" borderId="30" xfId="0" applyNumberFormat="1" applyFont="1" applyBorder="1" applyAlignment="1">
      <alignment/>
    </xf>
    <xf numFmtId="4" fontId="0" fillId="0" borderId="30" xfId="0" applyNumberFormat="1" applyBorder="1" applyAlignment="1">
      <alignment/>
    </xf>
    <xf numFmtId="43" fontId="0" fillId="0" borderId="0" xfId="0" applyNumberFormat="1" applyAlignment="1">
      <alignment/>
    </xf>
    <xf numFmtId="4" fontId="2" fillId="33" borderId="53" xfId="0" applyNumberFormat="1" applyFont="1" applyFill="1" applyBorder="1" applyAlignment="1">
      <alignment horizontal="center"/>
    </xf>
    <xf numFmtId="174" fontId="0" fillId="0" borderId="29" xfId="0" applyNumberFormat="1" applyBorder="1" applyAlignment="1">
      <alignment/>
    </xf>
    <xf numFmtId="4" fontId="1" fillId="0" borderId="53" xfId="0" applyNumberFormat="1" applyFont="1" applyBorder="1" applyAlignment="1">
      <alignment/>
    </xf>
    <xf numFmtId="4" fontId="1" fillId="0" borderId="52" xfId="0" applyNumberFormat="1" applyFont="1" applyBorder="1" applyAlignment="1">
      <alignment horizontal="right"/>
    </xf>
    <xf numFmtId="41" fontId="1" fillId="35" borderId="0" xfId="0" applyNumberFormat="1" applyFont="1" applyFill="1" applyBorder="1" applyAlignment="1">
      <alignment wrapText="1"/>
    </xf>
    <xf numFmtId="0" fontId="0" fillId="35" borderId="30" xfId="0" applyFont="1" applyFill="1" applyBorder="1" applyAlignment="1">
      <alignment horizontal="center"/>
    </xf>
    <xf numFmtId="41" fontId="0" fillId="35" borderId="61" xfId="0" applyNumberFormat="1" applyFill="1" applyBorder="1" applyAlignment="1">
      <alignment horizontal="center"/>
    </xf>
    <xf numFmtId="41" fontId="0" fillId="35" borderId="53" xfId="0" applyNumberFormat="1" applyFill="1" applyBorder="1" applyAlignment="1">
      <alignment horizontal="center"/>
    </xf>
    <xf numFmtId="4" fontId="2" fillId="34" borderId="62" xfId="0" applyNumberFormat="1" applyFont="1" applyFill="1" applyBorder="1" applyAlignment="1">
      <alignment/>
    </xf>
    <xf numFmtId="4" fontId="1" fillId="0" borderId="11" xfId="0" applyNumberFormat="1" applyFont="1" applyBorder="1" applyAlignment="1">
      <alignment/>
    </xf>
    <xf numFmtId="4" fontId="1" fillId="0" borderId="60" xfId="0" applyNumberFormat="1" applyFont="1" applyBorder="1" applyAlignment="1">
      <alignment horizontal="center" wrapText="1"/>
    </xf>
    <xf numFmtId="4" fontId="1" fillId="0" borderId="59" xfId="0" applyNumberFormat="1" applyFont="1" applyBorder="1" applyAlignment="1">
      <alignment horizontal="center" wrapText="1"/>
    </xf>
    <xf numFmtId="4" fontId="1" fillId="0" borderId="63" xfId="0" applyNumberFormat="1" applyFont="1" applyBorder="1" applyAlignment="1">
      <alignment horizontal="center" wrapText="1"/>
    </xf>
    <xf numFmtId="4" fontId="1" fillId="0" borderId="18" xfId="0" applyNumberFormat="1" applyFont="1" applyBorder="1" applyAlignment="1">
      <alignment/>
    </xf>
    <xf numFmtId="4" fontId="1" fillId="0" borderId="60" xfId="0" applyNumberFormat="1" applyFont="1" applyFill="1" applyBorder="1" applyAlignment="1">
      <alignment horizontal="center" wrapText="1"/>
    </xf>
    <xf numFmtId="4" fontId="1" fillId="0" borderId="59" xfId="0" applyNumberFormat="1" applyFont="1" applyFill="1" applyBorder="1" applyAlignment="1">
      <alignment horizontal="center" wrapText="1"/>
    </xf>
    <xf numFmtId="4" fontId="1" fillId="0" borderId="63" xfId="0" applyNumberFormat="1" applyFont="1" applyFill="1" applyBorder="1" applyAlignment="1">
      <alignment horizontal="center" wrapText="1"/>
    </xf>
    <xf numFmtId="4" fontId="1" fillId="0" borderId="64" xfId="0" applyNumberFormat="1" applyFont="1" applyFill="1" applyBorder="1" applyAlignment="1">
      <alignment horizontal="center"/>
    </xf>
    <xf numFmtId="3" fontId="2" fillId="34" borderId="33" xfId="0" applyNumberFormat="1" applyFont="1" applyFill="1" applyBorder="1" applyAlignment="1">
      <alignment horizontal="center"/>
    </xf>
    <xf numFmtId="3" fontId="2" fillId="34" borderId="34" xfId="0" applyNumberFormat="1" applyFont="1" applyFill="1" applyBorder="1" applyAlignment="1">
      <alignment horizontal="center"/>
    </xf>
    <xf numFmtId="3" fontId="2" fillId="34" borderId="35" xfId="0" applyNumberFormat="1" applyFont="1" applyFill="1" applyBorder="1" applyAlignment="1">
      <alignment horizontal="center"/>
    </xf>
    <xf numFmtId="3" fontId="2" fillId="34" borderId="32" xfId="0" applyNumberFormat="1" applyFont="1" applyFill="1" applyBorder="1" applyAlignment="1">
      <alignment horizontal="center"/>
    </xf>
    <xf numFmtId="10" fontId="4" fillId="0" borderId="20" xfId="52" applyNumberFormat="1" applyFont="1" applyBorder="1" applyAlignment="1">
      <alignment horizontal="center"/>
    </xf>
    <xf numFmtId="10" fontId="4" fillId="0" borderId="21" xfId="52" applyNumberFormat="1" applyFont="1" applyBorder="1" applyAlignment="1">
      <alignment horizontal="center"/>
    </xf>
    <xf numFmtId="9" fontId="5" fillId="0" borderId="19" xfId="52" applyFont="1" applyBorder="1" applyAlignment="1">
      <alignment horizontal="center"/>
    </xf>
    <xf numFmtId="3" fontId="1" fillId="0" borderId="20" xfId="0" applyNumberFormat="1" applyFont="1" applyBorder="1" applyAlignment="1">
      <alignment horizontal="center"/>
    </xf>
    <xf numFmtId="3" fontId="1" fillId="0" borderId="21" xfId="0" applyNumberFormat="1" applyFont="1" applyBorder="1" applyAlignment="1">
      <alignment horizontal="center"/>
    </xf>
    <xf numFmtId="3" fontId="2" fillId="0" borderId="19" xfId="0" applyNumberFormat="1" applyFont="1" applyBorder="1" applyAlignment="1">
      <alignment horizontal="center"/>
    </xf>
    <xf numFmtId="4" fontId="4" fillId="0" borderId="20" xfId="0" applyNumberFormat="1" applyFont="1" applyBorder="1" applyAlignment="1">
      <alignment horizontal="center"/>
    </xf>
    <xf numFmtId="4" fontId="4" fillId="0" borderId="0" xfId="0" applyNumberFormat="1" applyFont="1" applyBorder="1" applyAlignment="1">
      <alignment horizontal="center"/>
    </xf>
    <xf numFmtId="4" fontId="4" fillId="0" borderId="21" xfId="0" applyNumberFormat="1" applyFont="1" applyBorder="1" applyAlignment="1">
      <alignment horizontal="center"/>
    </xf>
    <xf numFmtId="4" fontId="4" fillId="0" borderId="22" xfId="0" applyNumberFormat="1" applyFont="1" applyBorder="1" applyAlignment="1">
      <alignment horizontal="center"/>
    </xf>
    <xf numFmtId="4" fontId="1" fillId="0" borderId="20" xfId="0" applyNumberFormat="1" applyFont="1" applyBorder="1" applyAlignment="1">
      <alignment horizontal="center"/>
    </xf>
    <xf numFmtId="4" fontId="1" fillId="0" borderId="0" xfId="0" applyNumberFormat="1" applyFont="1" applyBorder="1" applyAlignment="1">
      <alignment horizontal="center"/>
    </xf>
    <xf numFmtId="4" fontId="1" fillId="0" borderId="21" xfId="0" applyNumberFormat="1" applyFont="1" applyBorder="1" applyAlignment="1">
      <alignment horizontal="center"/>
    </xf>
    <xf numFmtId="3" fontId="1" fillId="0" borderId="0" xfId="0" applyNumberFormat="1" applyFont="1" applyBorder="1" applyAlignment="1">
      <alignment horizontal="center"/>
    </xf>
    <xf numFmtId="3" fontId="1" fillId="0" borderId="22" xfId="0" applyNumberFormat="1" applyFont="1" applyBorder="1" applyAlignment="1">
      <alignment horizontal="center"/>
    </xf>
    <xf numFmtId="9" fontId="2" fillId="0" borderId="19" xfId="52" applyFont="1" applyBorder="1" applyAlignment="1">
      <alignment horizontal="center"/>
    </xf>
    <xf numFmtId="3" fontId="1" fillId="0" borderId="24" xfId="0" applyNumberFormat="1" applyFont="1" applyBorder="1" applyAlignment="1">
      <alignment horizontal="center"/>
    </xf>
    <xf numFmtId="3" fontId="2" fillId="34" borderId="44" xfId="0" applyNumberFormat="1" applyFont="1" applyFill="1" applyBorder="1" applyAlignment="1">
      <alignment horizontal="center"/>
    </xf>
    <xf numFmtId="3" fontId="2" fillId="34" borderId="39" xfId="0" applyNumberFormat="1" applyFont="1" applyFill="1" applyBorder="1" applyAlignment="1">
      <alignment horizontal="center"/>
    </xf>
    <xf numFmtId="3" fontId="2" fillId="34" borderId="65" xfId="0" applyNumberFormat="1" applyFont="1" applyFill="1" applyBorder="1" applyAlignment="1">
      <alignment horizontal="center"/>
    </xf>
    <xf numFmtId="3" fontId="2" fillId="34" borderId="62" xfId="0" applyNumberFormat="1" applyFont="1" applyFill="1" applyBorder="1" applyAlignment="1">
      <alignment horizontal="center"/>
    </xf>
    <xf numFmtId="4" fontId="2" fillId="0" borderId="60" xfId="0" applyNumberFormat="1" applyFont="1" applyBorder="1" applyAlignment="1">
      <alignment horizontal="center"/>
    </xf>
    <xf numFmtId="4" fontId="2" fillId="0" borderId="66" xfId="0" applyNumberFormat="1" applyFont="1" applyBorder="1" applyAlignment="1">
      <alignment horizontal="center"/>
    </xf>
    <xf numFmtId="4" fontId="2" fillId="0" borderId="11" xfId="0" applyNumberFormat="1" applyFont="1" applyBorder="1" applyAlignment="1">
      <alignment horizontal="center"/>
    </xf>
    <xf numFmtId="4" fontId="1" fillId="0" borderId="26" xfId="0" applyNumberFormat="1" applyFont="1" applyBorder="1" applyAlignment="1">
      <alignment horizontal="center" wrapText="1"/>
    </xf>
    <xf numFmtId="4" fontId="1" fillId="0" borderId="58" xfId="0" applyNumberFormat="1" applyFont="1" applyBorder="1" applyAlignment="1">
      <alignment horizontal="center" wrapText="1"/>
    </xf>
    <xf numFmtId="4" fontId="1" fillId="0" borderId="27" xfId="0" applyNumberFormat="1" applyFont="1" applyBorder="1" applyAlignment="1">
      <alignment horizontal="center" wrapText="1"/>
    </xf>
    <xf numFmtId="41" fontId="1" fillId="0" borderId="26" xfId="0" applyNumberFormat="1" applyFont="1" applyFill="1" applyBorder="1" applyAlignment="1">
      <alignment horizontal="center" wrapText="1"/>
    </xf>
    <xf numFmtId="41" fontId="1" fillId="0" borderId="58" xfId="0" applyNumberFormat="1" applyFont="1" applyFill="1" applyBorder="1" applyAlignment="1">
      <alignment horizontal="center" wrapText="1"/>
    </xf>
    <xf numFmtId="41" fontId="1" fillId="0" borderId="27" xfId="0" applyNumberFormat="1" applyFont="1" applyFill="1" applyBorder="1" applyAlignment="1">
      <alignment horizontal="center" wrapText="1"/>
    </xf>
    <xf numFmtId="41" fontId="2" fillId="0" borderId="67" xfId="0" applyNumberFormat="1" applyFont="1" applyFill="1" applyBorder="1" applyAlignment="1">
      <alignment horizontal="center"/>
    </xf>
    <xf numFmtId="42" fontId="2" fillId="0" borderId="26" xfId="0" applyNumberFormat="1" applyFont="1" applyBorder="1" applyAlignment="1">
      <alignment horizontal="center"/>
    </xf>
    <xf numFmtId="42" fontId="2" fillId="0" borderId="68" xfId="0" applyNumberFormat="1" applyFont="1" applyBorder="1" applyAlignment="1">
      <alignment horizontal="center"/>
    </xf>
    <xf numFmtId="4" fontId="2" fillId="0" borderId="18" xfId="0" applyNumberFormat="1" applyFont="1" applyBorder="1" applyAlignment="1">
      <alignment horizontal="center"/>
    </xf>
    <xf numFmtId="174" fontId="2" fillId="33" borderId="69" xfId="0" applyNumberFormat="1" applyFont="1" applyFill="1" applyBorder="1" applyAlignment="1">
      <alignment horizontal="center"/>
    </xf>
    <xf numFmtId="174" fontId="2" fillId="33" borderId="38" xfId="0" applyNumberFormat="1" applyFont="1" applyFill="1" applyBorder="1" applyAlignment="1">
      <alignment horizontal="center"/>
    </xf>
    <xf numFmtId="174" fontId="2" fillId="33" borderId="57" xfId="0" applyNumberFormat="1" applyFont="1" applyFill="1" applyBorder="1" applyAlignment="1">
      <alignment horizontal="center"/>
    </xf>
    <xf numFmtId="174" fontId="2" fillId="33" borderId="38" xfId="0" applyNumberFormat="1" applyFont="1" applyFill="1" applyBorder="1" applyAlignment="1">
      <alignment/>
    </xf>
    <xf numFmtId="169" fontId="0" fillId="35" borderId="36" xfId="0" applyNumberFormat="1" applyFont="1" applyFill="1" applyBorder="1" applyAlignment="1">
      <alignment horizontal="center"/>
    </xf>
    <xf numFmtId="4" fontId="1" fillId="0" borderId="36" xfId="0" applyNumberFormat="1" applyFont="1" applyBorder="1" applyAlignment="1">
      <alignment horizontal="center" wrapText="1"/>
    </xf>
    <xf numFmtId="42" fontId="1" fillId="0" borderId="36" xfId="0" applyNumberFormat="1" applyFont="1" applyBorder="1" applyAlignment="1">
      <alignment horizontal="center" wrapText="1"/>
    </xf>
    <xf numFmtId="4" fontId="1" fillId="0" borderId="36" xfId="0" applyNumberFormat="1" applyFont="1" applyBorder="1" applyAlignment="1">
      <alignment horizontal="center" wrapText="1"/>
    </xf>
    <xf numFmtId="41" fontId="1" fillId="35" borderId="36" xfId="0" applyNumberFormat="1" applyFont="1" applyFill="1" applyBorder="1" applyAlignment="1">
      <alignment horizontal="center" wrapText="1"/>
    </xf>
    <xf numFmtId="44" fontId="1" fillId="0" borderId="36" xfId="0" applyNumberFormat="1" applyFont="1" applyBorder="1" applyAlignment="1">
      <alignment horizontal="center" wrapText="1"/>
    </xf>
    <xf numFmtId="4" fontId="1" fillId="37" borderId="36" xfId="0" applyNumberFormat="1" applyFont="1" applyFill="1" applyBorder="1" applyAlignment="1">
      <alignment horizontal="center" wrapText="1"/>
    </xf>
    <xf numFmtId="41" fontId="1" fillId="0" borderId="36" xfId="0" applyNumberFormat="1" applyFont="1" applyBorder="1" applyAlignment="1">
      <alignment horizontal="center" wrapText="1"/>
    </xf>
    <xf numFmtId="42" fontId="1" fillId="0" borderId="36" xfId="0" applyNumberFormat="1" applyFont="1" applyBorder="1" applyAlignment="1">
      <alignment horizontal="center" wrapText="1"/>
    </xf>
    <xf numFmtId="4" fontId="1" fillId="0" borderId="0" xfId="0" applyNumberFormat="1" applyFont="1" applyAlignment="1">
      <alignment horizontal="center" wrapText="1"/>
    </xf>
    <xf numFmtId="41" fontId="1" fillId="0" borderId="0" xfId="0" applyNumberFormat="1" applyFont="1" applyAlignment="1">
      <alignment horizontal="center" wrapText="1"/>
    </xf>
    <xf numFmtId="41" fontId="1" fillId="0" borderId="36" xfId="0" applyNumberFormat="1" applyFont="1" applyBorder="1" applyAlignment="1">
      <alignment horizontal="center" wrapText="1"/>
    </xf>
    <xf numFmtId="44" fontId="1" fillId="0" borderId="36" xfId="0" applyNumberFormat="1" applyFont="1" applyBorder="1" applyAlignment="1">
      <alignment horizontal="center" wrapText="1"/>
    </xf>
    <xf numFmtId="4" fontId="1" fillId="0" borderId="0" xfId="0" applyNumberFormat="1" applyFont="1" applyAlignment="1">
      <alignment horizontal="left" wrapText="1"/>
    </xf>
    <xf numFmtId="4" fontId="2" fillId="33" borderId="16" xfId="0" applyNumberFormat="1" applyFont="1" applyFill="1" applyBorder="1" applyAlignment="1">
      <alignment horizontal="center"/>
    </xf>
    <xf numFmtId="4" fontId="2" fillId="33" borderId="14" xfId="0" applyNumberFormat="1" applyFont="1" applyFill="1" applyBorder="1" applyAlignment="1">
      <alignment horizontal="center"/>
    </xf>
    <xf numFmtId="4" fontId="2" fillId="33" borderId="70" xfId="0" applyNumberFormat="1" applyFont="1" applyFill="1" applyBorder="1" applyAlignment="1">
      <alignment horizontal="center"/>
    </xf>
    <xf numFmtId="4" fontId="3" fillId="34" borderId="0" xfId="0" applyNumberFormat="1" applyFont="1" applyFill="1" applyAlignment="1">
      <alignment horizontal="center"/>
    </xf>
    <xf numFmtId="4" fontId="3" fillId="34" borderId="0" xfId="0" applyNumberFormat="1" applyFont="1" applyFill="1" applyAlignment="1">
      <alignment horizontal="center"/>
    </xf>
    <xf numFmtId="4" fontId="2" fillId="33" borderId="29" xfId="0" applyNumberFormat="1" applyFont="1" applyFill="1" applyBorder="1" applyAlignment="1">
      <alignment horizontal="center"/>
    </xf>
    <xf numFmtId="4" fontId="2" fillId="33" borderId="38" xfId="0" applyNumberFormat="1" applyFont="1" applyFill="1" applyBorder="1" applyAlignment="1">
      <alignment horizontal="center"/>
    </xf>
    <xf numFmtId="4" fontId="2" fillId="33" borderId="30" xfId="0" applyNumberFormat="1" applyFont="1" applyFill="1" applyBorder="1" applyAlignment="1">
      <alignment horizontal="center"/>
    </xf>
    <xf numFmtId="41" fontId="1" fillId="0" borderId="31" xfId="0" applyNumberFormat="1" applyFont="1" applyBorder="1" applyAlignment="1">
      <alignment wrapText="1"/>
    </xf>
    <xf numFmtId="41" fontId="2" fillId="35" borderId="10" xfId="0" applyNumberFormat="1" applyFont="1" applyFill="1" applyBorder="1" applyAlignment="1">
      <alignment wrapText="1"/>
    </xf>
    <xf numFmtId="4" fontId="2" fillId="0" borderId="29" xfId="0" applyNumberFormat="1" applyFont="1" applyBorder="1" applyAlignment="1">
      <alignment/>
    </xf>
    <xf numFmtId="4" fontId="2" fillId="0" borderId="38" xfId="0" applyNumberFormat="1" applyFont="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3"/>
  <sheetViews>
    <sheetView showGridLines="0" tabSelected="1" zoomScalePageLayoutView="0" workbookViewId="0" topLeftCell="A24">
      <selection activeCell="A41" sqref="A41:J41"/>
    </sheetView>
  </sheetViews>
  <sheetFormatPr defaultColWidth="11.421875" defaultRowHeight="12.75"/>
  <cols>
    <col min="1" max="1" width="25.7109375" style="1" customWidth="1"/>
    <col min="2" max="2" width="15.7109375" style="1" customWidth="1"/>
    <col min="3" max="3" width="16.7109375" style="1" customWidth="1"/>
    <col min="4" max="4" width="17.00390625" style="1" bestFit="1" customWidth="1"/>
    <col min="5" max="5" width="16.421875" style="1" customWidth="1"/>
    <col min="6" max="6" width="14.7109375" style="1" bestFit="1" customWidth="1"/>
    <col min="7" max="7" width="16.57421875" style="1" bestFit="1" customWidth="1"/>
    <col min="8" max="8" width="15.8515625" style="1" bestFit="1" customWidth="1"/>
    <col min="9" max="9" width="13.28125" style="1" bestFit="1" customWidth="1"/>
    <col min="10" max="10" width="16.00390625" style="1" customWidth="1"/>
    <col min="11" max="11" width="14.57421875" style="2" bestFit="1" customWidth="1"/>
    <col min="12" max="16384" width="11.421875" style="1" customWidth="1"/>
  </cols>
  <sheetData>
    <row r="1" spans="1:11" ht="26.25">
      <c r="A1" s="308" t="s">
        <v>101</v>
      </c>
      <c r="B1" s="309"/>
      <c r="C1" s="309"/>
      <c r="D1" s="309"/>
      <c r="E1" s="309"/>
      <c r="F1" s="309"/>
      <c r="G1" s="309"/>
      <c r="H1" s="309"/>
      <c r="I1" s="309"/>
      <c r="J1" s="309"/>
      <c r="K1" s="309"/>
    </row>
    <row r="3" spans="1:2" ht="15">
      <c r="A3" s="3" t="s">
        <v>38</v>
      </c>
      <c r="B3" s="1" t="s">
        <v>39</v>
      </c>
    </row>
    <row r="4" spans="1:2" ht="15">
      <c r="A4" s="3" t="s">
        <v>42</v>
      </c>
      <c r="B4" s="1" t="s">
        <v>40</v>
      </c>
    </row>
    <row r="5" spans="1:2" ht="15">
      <c r="A5" s="3" t="s">
        <v>42</v>
      </c>
      <c r="B5" s="1" t="s">
        <v>41</v>
      </c>
    </row>
    <row r="6" ht="15">
      <c r="A6" s="3"/>
    </row>
    <row r="7" ht="15">
      <c r="A7" s="4" t="s">
        <v>43</v>
      </c>
    </row>
    <row r="8" ht="15">
      <c r="A8" s="3"/>
    </row>
    <row r="9" spans="1:10" ht="31.5" customHeight="1">
      <c r="A9" s="304" t="s">
        <v>56</v>
      </c>
      <c r="B9" s="304"/>
      <c r="C9" s="304"/>
      <c r="D9" s="304"/>
      <c r="E9" s="304"/>
      <c r="F9" s="304"/>
      <c r="G9" s="304"/>
      <c r="H9" s="304"/>
      <c r="I9" s="304"/>
      <c r="J9" s="304"/>
    </row>
    <row r="10" spans="1:10" ht="31.5" customHeight="1" thickBot="1">
      <c r="A10" s="5" t="s">
        <v>58</v>
      </c>
      <c r="B10" s="5">
        <v>50</v>
      </c>
      <c r="C10" s="5" t="s">
        <v>59</v>
      </c>
      <c r="D10" s="5"/>
      <c r="E10" s="5"/>
      <c r="F10" s="5"/>
      <c r="G10" s="5"/>
      <c r="H10" s="5"/>
      <c r="I10" s="5"/>
      <c r="J10" s="5"/>
    </row>
    <row r="11" spans="1:10" ht="17.25" customHeight="1">
      <c r="A11" s="5"/>
      <c r="B11" s="99" t="s">
        <v>61</v>
      </c>
      <c r="C11" s="10" t="s">
        <v>0</v>
      </c>
      <c r="D11" s="11" t="s">
        <v>1</v>
      </c>
      <c r="E11" s="12" t="s">
        <v>2</v>
      </c>
      <c r="F11" s="13" t="s">
        <v>3</v>
      </c>
      <c r="G11" s="11" t="s">
        <v>4</v>
      </c>
      <c r="H11" s="9" t="s">
        <v>5</v>
      </c>
      <c r="I11" s="10" t="s">
        <v>9</v>
      </c>
      <c r="J11" s="14" t="s">
        <v>10</v>
      </c>
    </row>
    <row r="12" spans="1:10" ht="31.5" customHeight="1">
      <c r="A12" s="101">
        <f>SUM(B12:J12)</f>
        <v>52080</v>
      </c>
      <c r="B12" s="101">
        <f aca="true" t="shared" si="0" ref="B12:H12">+B17/$B$10</f>
        <v>3200</v>
      </c>
      <c r="C12" s="102">
        <f t="shared" si="0"/>
        <v>1000</v>
      </c>
      <c r="D12" s="101">
        <f t="shared" si="0"/>
        <v>2000</v>
      </c>
      <c r="E12" s="101">
        <f t="shared" si="0"/>
        <v>6000</v>
      </c>
      <c r="F12" s="101">
        <f t="shared" si="0"/>
        <v>800</v>
      </c>
      <c r="G12" s="101">
        <f t="shared" si="0"/>
        <v>800</v>
      </c>
      <c r="H12" s="101">
        <f t="shared" si="0"/>
        <v>23000</v>
      </c>
      <c r="I12" s="102"/>
      <c r="J12" s="101">
        <f>+J17/$B$10</f>
        <v>15280</v>
      </c>
    </row>
    <row r="13" spans="1:11" s="95" customFormat="1" ht="12.75">
      <c r="A13" s="103">
        <f>SUM(B13:J13)</f>
        <v>0.9999999999999999</v>
      </c>
      <c r="B13" s="104">
        <f>B12/($A$12-$C$12)</f>
        <v>0.06264682850430697</v>
      </c>
      <c r="C13" s="291"/>
      <c r="D13" s="104">
        <f>D12/($A$12-$C$12)</f>
        <v>0.03915426781519186</v>
      </c>
      <c r="E13" s="104">
        <f aca="true" t="shared" si="1" ref="E13:J13">E12/($A$12-1000)</f>
        <v>0.11746280344557557</v>
      </c>
      <c r="F13" s="104">
        <f t="shared" si="1"/>
        <v>0.015661707126076743</v>
      </c>
      <c r="G13" s="104">
        <f t="shared" si="1"/>
        <v>0.015661707126076743</v>
      </c>
      <c r="H13" s="104">
        <f t="shared" si="1"/>
        <v>0.45027407987470636</v>
      </c>
      <c r="I13" s="104">
        <f t="shared" si="1"/>
        <v>0</v>
      </c>
      <c r="J13" s="104">
        <f t="shared" si="1"/>
        <v>0.29913860610806575</v>
      </c>
      <c r="K13" s="96"/>
    </row>
    <row r="14" spans="2:11" s="92" customFormat="1" ht="13.5" thickBot="1">
      <c r="B14" s="93"/>
      <c r="C14" s="93"/>
      <c r="D14" s="93"/>
      <c r="E14" s="93"/>
      <c r="F14" s="93"/>
      <c r="G14" s="93"/>
      <c r="H14" s="93"/>
      <c r="I14" s="93"/>
      <c r="J14" s="93"/>
      <c r="K14" s="94"/>
    </row>
    <row r="15" spans="1:11" ht="15.75" thickBot="1">
      <c r="A15" s="6"/>
      <c r="B15" s="310" t="s">
        <v>7</v>
      </c>
      <c r="C15" s="311"/>
      <c r="D15" s="312"/>
      <c r="E15" s="310" t="s">
        <v>8</v>
      </c>
      <c r="F15" s="311"/>
      <c r="G15" s="312"/>
      <c r="H15" s="310" t="s">
        <v>11</v>
      </c>
      <c r="I15" s="311"/>
      <c r="J15" s="312"/>
      <c r="K15" s="7"/>
    </row>
    <row r="16" spans="1:11" ht="15.75" thickBot="1">
      <c r="A16" s="8" t="s">
        <v>44</v>
      </c>
      <c r="B16" s="99" t="s">
        <v>61</v>
      </c>
      <c r="C16" s="10" t="s">
        <v>0</v>
      </c>
      <c r="D16" s="11" t="s">
        <v>1</v>
      </c>
      <c r="E16" s="12" t="s">
        <v>2</v>
      </c>
      <c r="F16" s="13" t="s">
        <v>3</v>
      </c>
      <c r="G16" s="11" t="s">
        <v>4</v>
      </c>
      <c r="H16" s="9" t="s">
        <v>5</v>
      </c>
      <c r="I16" s="10" t="s">
        <v>9</v>
      </c>
      <c r="J16" s="14" t="s">
        <v>10</v>
      </c>
      <c r="K16" s="15" t="s">
        <v>6</v>
      </c>
    </row>
    <row r="17" spans="1:11" ht="15">
      <c r="A17" s="16" t="s">
        <v>45</v>
      </c>
      <c r="B17" s="53">
        <v>160000</v>
      </c>
      <c r="C17" s="54">
        <v>50000</v>
      </c>
      <c r="D17" s="55">
        <v>100000</v>
      </c>
      <c r="E17" s="53">
        <v>300000</v>
      </c>
      <c r="F17" s="54">
        <v>40000</v>
      </c>
      <c r="G17" s="55">
        <v>40000</v>
      </c>
      <c r="H17" s="53">
        <v>1150000</v>
      </c>
      <c r="I17" s="90">
        <v>350000</v>
      </c>
      <c r="J17" s="54">
        <v>764000</v>
      </c>
      <c r="K17" s="56">
        <f>SUM(B17:J17)</f>
        <v>2954000</v>
      </c>
    </row>
    <row r="18" spans="1:11" ht="15">
      <c r="A18" s="16" t="s">
        <v>46</v>
      </c>
      <c r="B18" s="53">
        <v>15200</v>
      </c>
      <c r="C18" s="54">
        <v>9000</v>
      </c>
      <c r="D18" s="55">
        <v>35500</v>
      </c>
      <c r="E18" s="53">
        <v>83490</v>
      </c>
      <c r="F18" s="54">
        <v>70400</v>
      </c>
      <c r="G18" s="55">
        <v>38000</v>
      </c>
      <c r="H18" s="53">
        <v>382500</v>
      </c>
      <c r="I18" s="54">
        <v>335000</v>
      </c>
      <c r="J18" s="57">
        <v>19286</v>
      </c>
      <c r="K18" s="56">
        <f>SUM(B18:J18)</f>
        <v>988376</v>
      </c>
    </row>
    <row r="19" spans="1:11" ht="15">
      <c r="A19" s="16" t="s">
        <v>47</v>
      </c>
      <c r="B19" s="53">
        <v>3200</v>
      </c>
      <c r="C19" s="54">
        <v>1000</v>
      </c>
      <c r="D19" s="55">
        <v>33460</v>
      </c>
      <c r="E19" s="53">
        <v>150000</v>
      </c>
      <c r="F19" s="54">
        <v>1200000</v>
      </c>
      <c r="G19" s="55">
        <v>600000</v>
      </c>
      <c r="H19" s="53">
        <v>650000</v>
      </c>
      <c r="I19" s="54">
        <v>100000</v>
      </c>
      <c r="J19" s="57">
        <v>50000</v>
      </c>
      <c r="K19" s="56">
        <f>SUM(B19:J19)</f>
        <v>2787660</v>
      </c>
    </row>
    <row r="20" spans="1:11" ht="15">
      <c r="A20" s="69" t="s">
        <v>12</v>
      </c>
      <c r="B20" s="70">
        <f>SUM(B17:B19)</f>
        <v>178400</v>
      </c>
      <c r="C20" s="70">
        <f aca="true" t="shared" si="2" ref="C20:K20">SUM(C17:C19)</f>
        <v>60000</v>
      </c>
      <c r="D20" s="71">
        <f t="shared" si="2"/>
        <v>168960</v>
      </c>
      <c r="E20" s="70">
        <f t="shared" si="2"/>
        <v>533490</v>
      </c>
      <c r="F20" s="70">
        <f t="shared" si="2"/>
        <v>1310400</v>
      </c>
      <c r="G20" s="71">
        <f t="shared" si="2"/>
        <v>678000</v>
      </c>
      <c r="H20" s="70">
        <f t="shared" si="2"/>
        <v>2182500</v>
      </c>
      <c r="I20" s="70">
        <f t="shared" si="2"/>
        <v>785000</v>
      </c>
      <c r="J20" s="72">
        <f t="shared" si="2"/>
        <v>833286</v>
      </c>
      <c r="K20" s="73">
        <f t="shared" si="2"/>
        <v>6730036</v>
      </c>
    </row>
    <row r="21" spans="1:11" s="21" customFormat="1" ht="14.25">
      <c r="A21" s="17" t="s">
        <v>14</v>
      </c>
      <c r="B21" s="18">
        <f>B13</f>
        <v>0.06264682850430697</v>
      </c>
      <c r="C21" s="18"/>
      <c r="D21" s="19">
        <f aca="true" t="shared" si="3" ref="D21:J21">D13</f>
        <v>0.03915426781519186</v>
      </c>
      <c r="E21" s="18">
        <f t="shared" si="3"/>
        <v>0.11746280344557557</v>
      </c>
      <c r="F21" s="18">
        <f t="shared" si="3"/>
        <v>0.015661707126076743</v>
      </c>
      <c r="G21" s="19">
        <f t="shared" si="3"/>
        <v>0.015661707126076743</v>
      </c>
      <c r="H21" s="18">
        <f t="shared" si="3"/>
        <v>0.45027407987470636</v>
      </c>
      <c r="I21" s="18">
        <f t="shared" si="3"/>
        <v>0</v>
      </c>
      <c r="J21" s="18">
        <f t="shared" si="3"/>
        <v>0.29913860610806575</v>
      </c>
      <c r="K21" s="20">
        <f>SUM(B21:J21)</f>
        <v>0.9999999999999999</v>
      </c>
    </row>
    <row r="22" spans="1:11" ht="15">
      <c r="A22" s="76" t="s">
        <v>13</v>
      </c>
      <c r="B22" s="58">
        <f>B21*$C$20</f>
        <v>3758.8097102584184</v>
      </c>
      <c r="C22" s="58"/>
      <c r="D22" s="59">
        <f aca="true" t="shared" si="4" ref="D22:J22">D21*$C$20</f>
        <v>2349.2560689115116</v>
      </c>
      <c r="E22" s="58">
        <f t="shared" si="4"/>
        <v>7047.768206734534</v>
      </c>
      <c r="F22" s="58">
        <f t="shared" si="4"/>
        <v>939.7024275646046</v>
      </c>
      <c r="G22" s="59">
        <f t="shared" si="4"/>
        <v>939.7024275646046</v>
      </c>
      <c r="H22" s="58">
        <f t="shared" si="4"/>
        <v>27016.44479248238</v>
      </c>
      <c r="I22" s="58">
        <f t="shared" si="4"/>
        <v>0</v>
      </c>
      <c r="J22" s="58">
        <f t="shared" si="4"/>
        <v>17948.316366483945</v>
      </c>
      <c r="K22" s="60">
        <f aca="true" t="shared" si="5" ref="K22:K28">SUM(B22:J22)</f>
        <v>60000</v>
      </c>
    </row>
    <row r="23" spans="1:11" s="21" customFormat="1" ht="14.25">
      <c r="A23" s="100" t="s">
        <v>62</v>
      </c>
      <c r="B23" s="26"/>
      <c r="C23" s="27"/>
      <c r="D23" s="28"/>
      <c r="E23" s="26"/>
      <c r="F23" s="27">
        <f>(6000+1800)/(18000+7800)</f>
        <v>0.3023255813953488</v>
      </c>
      <c r="G23" s="28">
        <f>(12000+6000)/(18000+7800)</f>
        <v>0.6976744186046512</v>
      </c>
      <c r="H23" s="26"/>
      <c r="I23" s="27"/>
      <c r="J23" s="29"/>
      <c r="K23" s="20"/>
    </row>
    <row r="24" spans="1:11" ht="15">
      <c r="A24" s="76" t="s">
        <v>63</v>
      </c>
      <c r="B24" s="23"/>
      <c r="C24" s="30"/>
      <c r="D24" s="24"/>
      <c r="E24" s="23"/>
      <c r="F24" s="30">
        <f>F23*($B$20+$B$22)</f>
        <v>55071.26805193859</v>
      </c>
      <c r="G24" s="24">
        <f>G23*($B$20+$B$22)</f>
        <v>127087.54165831982</v>
      </c>
      <c r="H24" s="58"/>
      <c r="I24" s="61"/>
      <c r="J24" s="64"/>
      <c r="K24" s="60">
        <f t="shared" si="5"/>
        <v>182158.8097102584</v>
      </c>
    </row>
    <row r="25" spans="1:11" s="21" customFormat="1" ht="15">
      <c r="A25" s="17" t="s">
        <v>15</v>
      </c>
      <c r="B25" s="26"/>
      <c r="C25" s="27"/>
      <c r="D25" s="28"/>
      <c r="E25" s="26"/>
      <c r="F25" s="27">
        <f>F23</f>
        <v>0.3023255813953488</v>
      </c>
      <c r="G25" s="28">
        <f>G23</f>
        <v>0.6976744186046512</v>
      </c>
      <c r="H25" s="26"/>
      <c r="I25" s="27"/>
      <c r="J25" s="29"/>
      <c r="K25" s="32"/>
    </row>
    <row r="26" spans="1:11" ht="15">
      <c r="A26" s="76" t="s">
        <v>16</v>
      </c>
      <c r="B26" s="58"/>
      <c r="C26" s="61"/>
      <c r="D26" s="59"/>
      <c r="E26" s="58"/>
      <c r="F26" s="61">
        <f>F25*(-$D$27)</f>
        <v>51791.17043943836</v>
      </c>
      <c r="G26" s="59">
        <f>G25*(-$D$27)</f>
        <v>119518.08562947315</v>
      </c>
      <c r="H26" s="58"/>
      <c r="I26" s="61"/>
      <c r="J26" s="64"/>
      <c r="K26" s="60">
        <f t="shared" si="5"/>
        <v>171309.25606891152</v>
      </c>
    </row>
    <row r="27" spans="1:11" ht="15">
      <c r="A27" s="22"/>
      <c r="B27" s="58">
        <f>(B20+B22)*-1</f>
        <v>-182158.8097102584</v>
      </c>
      <c r="C27" s="61">
        <f>-C20</f>
        <v>-60000</v>
      </c>
      <c r="D27" s="59">
        <f>-(D20+D22)</f>
        <v>-171309.25606891152</v>
      </c>
      <c r="E27" s="58"/>
      <c r="F27" s="61"/>
      <c r="G27" s="59"/>
      <c r="H27" s="61"/>
      <c r="I27" s="63"/>
      <c r="J27" s="61"/>
      <c r="K27" s="60"/>
    </row>
    <row r="28" spans="1:11" s="2" customFormat="1" ht="15">
      <c r="A28" s="69" t="s">
        <v>51</v>
      </c>
      <c r="B28" s="72">
        <f>B20+B22+B27</f>
        <v>0</v>
      </c>
      <c r="C28" s="74">
        <f>C20+C27</f>
        <v>0</v>
      </c>
      <c r="D28" s="71">
        <f>D20+D22+D27</f>
        <v>0</v>
      </c>
      <c r="E28" s="72">
        <f>E20+E22+E24+E26</f>
        <v>540537.7682067346</v>
      </c>
      <c r="F28" s="74">
        <f>F20+F22+F24+F26</f>
        <v>1418202.1409189417</v>
      </c>
      <c r="G28" s="71">
        <f>G20+G22+G24+G26</f>
        <v>925545.3297153576</v>
      </c>
      <c r="H28" s="72">
        <f>H22+H20</f>
        <v>2209516.4447924825</v>
      </c>
      <c r="I28" s="72">
        <f>I22+I20</f>
        <v>785000</v>
      </c>
      <c r="J28" s="72">
        <f>J22+J20</f>
        <v>851234.3163664839</v>
      </c>
      <c r="K28" s="75">
        <f t="shared" si="5"/>
        <v>6730036</v>
      </c>
    </row>
    <row r="29" spans="1:11" s="2" customFormat="1" ht="72.75" thickBot="1">
      <c r="A29" s="22" t="s">
        <v>18</v>
      </c>
      <c r="B29" s="77" t="s">
        <v>48</v>
      </c>
      <c r="C29" s="97" t="s">
        <v>100</v>
      </c>
      <c r="D29" s="33" t="s">
        <v>48</v>
      </c>
      <c r="E29" s="98" t="s">
        <v>60</v>
      </c>
      <c r="F29" s="106" t="s">
        <v>99</v>
      </c>
      <c r="G29" s="33" t="s">
        <v>17</v>
      </c>
      <c r="H29" s="105" t="s">
        <v>64</v>
      </c>
      <c r="I29" s="38"/>
      <c r="J29" s="39"/>
      <c r="K29" s="25"/>
    </row>
    <row r="30" spans="1:11" s="2" customFormat="1" ht="15.75" thickBot="1">
      <c r="A30" s="22" t="s">
        <v>52</v>
      </c>
      <c r="B30" s="34"/>
      <c r="C30" s="35"/>
      <c r="D30" s="36"/>
      <c r="E30" s="235">
        <f>66000+90000</f>
        <v>156000</v>
      </c>
      <c r="F30" s="314">
        <v>8820</v>
      </c>
      <c r="G30" s="313">
        <f>18000</f>
        <v>18000</v>
      </c>
      <c r="H30" s="107">
        <f>(H33+H34)/100</f>
        <v>146100</v>
      </c>
      <c r="I30" s="161">
        <f>+D72+G72</f>
        <v>8307330.6933864895</v>
      </c>
      <c r="J30" s="162">
        <f>+I30</f>
        <v>8307330.6933864895</v>
      </c>
      <c r="K30" s="25"/>
    </row>
    <row r="31" spans="1:11" ht="15.75" customHeight="1" thickBot="1">
      <c r="A31" s="15"/>
      <c r="B31" s="40"/>
      <c r="C31" s="41"/>
      <c r="D31" s="42"/>
      <c r="E31" s="287">
        <f>E28/E30</f>
        <v>3.4649856936329138</v>
      </c>
      <c r="F31" s="288">
        <f>F28/F30</f>
        <v>160.7938935282247</v>
      </c>
      <c r="G31" s="289">
        <f>G28/G30</f>
        <v>51.419184984186536</v>
      </c>
      <c r="H31" s="290">
        <f>+H28/H30</f>
        <v>15.123315843891051</v>
      </c>
      <c r="I31" s="232">
        <f>+SUM(I28:J28)/I30</f>
        <v>0.19696270399697688</v>
      </c>
      <c r="J31" s="163">
        <f>I31</f>
        <v>0.19696270399697688</v>
      </c>
      <c r="K31" s="231"/>
    </row>
    <row r="32" spans="1:11" ht="15.75" thickBot="1">
      <c r="A32" s="30"/>
      <c r="B32" s="30"/>
      <c r="C32" s="30"/>
      <c r="D32" s="30"/>
      <c r="E32" s="38"/>
      <c r="F32" s="38"/>
      <c r="G32" s="38"/>
      <c r="H32" s="30"/>
      <c r="I32" s="234" t="s">
        <v>98</v>
      </c>
      <c r="J32" s="233"/>
      <c r="K32" s="38"/>
    </row>
    <row r="33" spans="1:11" ht="15">
      <c r="A33" s="30"/>
      <c r="B33" s="30"/>
      <c r="C33" s="30">
        <v>7</v>
      </c>
      <c r="D33" s="30"/>
      <c r="E33" s="38"/>
      <c r="F33" s="158">
        <v>30000</v>
      </c>
      <c r="G33" s="61">
        <v>270</v>
      </c>
      <c r="H33" s="159">
        <f>+G33*F33</f>
        <v>8100000</v>
      </c>
      <c r="I33" s="30"/>
      <c r="J33" s="30"/>
      <c r="K33" s="38"/>
    </row>
    <row r="34" spans="1:11" ht="15">
      <c r="A34" s="30"/>
      <c r="B34" s="30"/>
      <c r="C34" s="30">
        <v>14</v>
      </c>
      <c r="D34" s="30"/>
      <c r="E34" s="38"/>
      <c r="F34" s="158">
        <f>150*70</f>
        <v>10500</v>
      </c>
      <c r="G34" s="61">
        <v>620</v>
      </c>
      <c r="H34" s="160">
        <f>G34*F34</f>
        <v>6510000</v>
      </c>
      <c r="I34" s="30"/>
      <c r="J34" s="30"/>
      <c r="K34" s="38"/>
    </row>
    <row r="35" spans="1:11" ht="15">
      <c r="A35" s="30"/>
      <c r="B35" s="30"/>
      <c r="C35" s="30"/>
      <c r="D35" s="30"/>
      <c r="E35" s="38"/>
      <c r="F35" s="158"/>
      <c r="G35" s="158"/>
      <c r="H35" s="61">
        <f>H33+H34</f>
        <v>14610000</v>
      </c>
      <c r="I35" s="30"/>
      <c r="J35" s="30"/>
      <c r="K35" s="38"/>
    </row>
    <row r="36" spans="1:11" ht="15.75" thickBot="1">
      <c r="A36" s="30"/>
      <c r="B36" s="30"/>
      <c r="C36" s="30"/>
      <c r="D36" s="30"/>
      <c r="E36" s="38"/>
      <c r="F36" s="158"/>
      <c r="G36" s="158"/>
      <c r="H36" s="61"/>
      <c r="I36" s="30"/>
      <c r="J36" s="30"/>
      <c r="K36" s="38"/>
    </row>
    <row r="37" spans="1:11" ht="15.75" thickBot="1">
      <c r="A37" s="30"/>
      <c r="B37" s="30"/>
      <c r="C37" s="30"/>
      <c r="D37" s="30"/>
      <c r="E37" s="38"/>
      <c r="F37" s="315" t="s">
        <v>104</v>
      </c>
      <c r="G37" s="316"/>
      <c r="H37" s="228"/>
      <c r="I37" s="30"/>
      <c r="J37" s="30"/>
      <c r="K37" s="38"/>
    </row>
    <row r="38" spans="1:11" ht="15">
      <c r="A38" s="30"/>
      <c r="B38" s="30"/>
      <c r="C38" s="30"/>
      <c r="D38" s="30"/>
      <c r="E38" s="38"/>
      <c r="F38" s="38" t="s">
        <v>105</v>
      </c>
      <c r="G38" s="38"/>
      <c r="H38" s="30"/>
      <c r="I38" s="30"/>
      <c r="J38" s="30"/>
      <c r="K38" s="38"/>
    </row>
    <row r="39" spans="1:11" ht="15">
      <c r="A39" s="30"/>
      <c r="B39" s="30"/>
      <c r="C39" s="30"/>
      <c r="D39" s="30"/>
      <c r="E39" s="38"/>
      <c r="F39" s="38" t="s">
        <v>106</v>
      </c>
      <c r="G39" s="38"/>
      <c r="H39" s="30"/>
      <c r="I39" s="30"/>
      <c r="J39" s="30"/>
      <c r="K39" s="38"/>
    </row>
    <row r="40" spans="1:11" ht="15">
      <c r="A40" s="30"/>
      <c r="B40" s="30"/>
      <c r="C40" s="30"/>
      <c r="D40" s="30"/>
      <c r="E40" s="38"/>
      <c r="F40" s="38"/>
      <c r="G40" s="38"/>
      <c r="H40" s="30"/>
      <c r="I40" s="30"/>
      <c r="J40" s="30"/>
      <c r="K40" s="38"/>
    </row>
    <row r="41" spans="1:11" ht="15">
      <c r="A41" s="304" t="s">
        <v>49</v>
      </c>
      <c r="B41" s="304"/>
      <c r="C41" s="304"/>
      <c r="D41" s="304"/>
      <c r="E41" s="304"/>
      <c r="F41" s="304"/>
      <c r="G41" s="304"/>
      <c r="H41" s="304"/>
      <c r="I41" s="304"/>
      <c r="J41" s="304"/>
      <c r="K41" s="38"/>
    </row>
    <row r="42" spans="1:11" ht="15">
      <c r="A42" s="304" t="s">
        <v>50</v>
      </c>
      <c r="B42" s="304"/>
      <c r="C42" s="304"/>
      <c r="D42" s="304"/>
      <c r="E42" s="304"/>
      <c r="F42" s="304"/>
      <c r="G42" s="304"/>
      <c r="H42" s="304"/>
      <c r="I42" s="304"/>
      <c r="J42" s="304"/>
      <c r="K42" s="38"/>
    </row>
    <row r="43" spans="1:10" ht="15">
      <c r="A43" s="304" t="s">
        <v>57</v>
      </c>
      <c r="B43" s="304"/>
      <c r="C43" s="304"/>
      <c r="D43" s="304"/>
      <c r="E43" s="304"/>
      <c r="F43" s="304"/>
      <c r="G43" s="304"/>
      <c r="H43" s="304"/>
      <c r="I43" s="304"/>
      <c r="J43" s="304"/>
    </row>
    <row r="44" spans="2:10" ht="15">
      <c r="B44" s="5"/>
      <c r="C44" s="113">
        <f>C47/C46-1</f>
        <v>-0.19999999999999996</v>
      </c>
      <c r="D44" s="5"/>
      <c r="E44" s="5"/>
      <c r="F44" s="5"/>
      <c r="G44" s="5"/>
      <c r="H44" s="5"/>
      <c r="I44" s="112"/>
      <c r="J44" s="5"/>
    </row>
    <row r="45" spans="1:10" ht="15">
      <c r="A45" s="111" t="s">
        <v>71</v>
      </c>
      <c r="B45" s="110" t="s">
        <v>68</v>
      </c>
      <c r="C45" s="110" t="s">
        <v>69</v>
      </c>
      <c r="D45" s="110" t="s">
        <v>70</v>
      </c>
      <c r="E45" s="91"/>
      <c r="F45" s="110" t="s">
        <v>68</v>
      </c>
      <c r="G45" s="110" t="s">
        <v>69</v>
      </c>
      <c r="H45" s="110" t="s">
        <v>70</v>
      </c>
      <c r="I45" s="112"/>
      <c r="J45" s="5"/>
    </row>
    <row r="46" spans="1:10" ht="15">
      <c r="A46" s="110" t="s">
        <v>65</v>
      </c>
      <c r="B46" s="114">
        <f>+B47*0.1</f>
        <v>3600</v>
      </c>
      <c r="C46" s="292">
        <f>C47/(1-0.2)</f>
        <v>37.5</v>
      </c>
      <c r="D46" s="293">
        <f>C46*B46</f>
        <v>135000</v>
      </c>
      <c r="E46" s="294" t="s">
        <v>73</v>
      </c>
      <c r="F46" s="295">
        <f>B48-F47</f>
        <v>36000</v>
      </c>
      <c r="G46" s="292">
        <f>C48</f>
        <v>30.681818181818183</v>
      </c>
      <c r="H46" s="296">
        <f>G46*F46</f>
        <v>1104545.4545454546</v>
      </c>
      <c r="I46" s="125" t="s">
        <v>74</v>
      </c>
      <c r="J46" s="126" t="s">
        <v>75</v>
      </c>
    </row>
    <row r="47" spans="1:10" ht="15">
      <c r="A47" s="110" t="s">
        <v>66</v>
      </c>
      <c r="B47" s="114">
        <v>36000</v>
      </c>
      <c r="C47" s="297">
        <f>+D47/B47</f>
        <v>30</v>
      </c>
      <c r="D47" s="293">
        <f>900000+180000</f>
        <v>1080000</v>
      </c>
      <c r="E47" s="294" t="s">
        <v>67</v>
      </c>
      <c r="F47" s="298">
        <f>+B46</f>
        <v>3600</v>
      </c>
      <c r="G47" s="292">
        <f>G46</f>
        <v>30.681818181818183</v>
      </c>
      <c r="H47" s="296">
        <f>G47*F47</f>
        <v>110454.54545454546</v>
      </c>
      <c r="I47" s="112"/>
      <c r="J47" s="5"/>
    </row>
    <row r="48" spans="2:10" ht="15">
      <c r="B48" s="101">
        <f>SUM(B46:B47)</f>
        <v>39600</v>
      </c>
      <c r="C48" s="292">
        <f>+D48/B48</f>
        <v>30.681818181818183</v>
      </c>
      <c r="D48" s="299">
        <f>SUM(D46:D47)</f>
        <v>1215000</v>
      </c>
      <c r="E48" s="300"/>
      <c r="F48" s="301"/>
      <c r="G48" s="300"/>
      <c r="H48" s="296">
        <f>SUM(H46:H47)</f>
        <v>1215000</v>
      </c>
      <c r="I48" s="112">
        <f>D46-H47</f>
        <v>24545.454545454544</v>
      </c>
      <c r="J48" s="5"/>
    </row>
    <row r="49" spans="2:10" ht="15">
      <c r="B49" s="115"/>
      <c r="C49" s="112"/>
      <c r="D49" s="119"/>
      <c r="E49" s="5"/>
      <c r="F49" s="116"/>
      <c r="G49" s="5"/>
      <c r="H49" s="122"/>
      <c r="I49" s="112"/>
      <c r="J49" s="5"/>
    </row>
    <row r="50" spans="2:10" ht="15">
      <c r="B50" s="116"/>
      <c r="C50" s="113">
        <f>C53/C52-1</f>
        <v>-0.19999999999999996</v>
      </c>
      <c r="D50" s="120"/>
      <c r="E50" s="5"/>
      <c r="F50" s="116"/>
      <c r="G50" s="5"/>
      <c r="H50" s="123"/>
      <c r="I50" s="112"/>
      <c r="J50" s="5"/>
    </row>
    <row r="51" spans="1:10" ht="15">
      <c r="A51" s="111" t="s">
        <v>72</v>
      </c>
      <c r="B51" s="114" t="s">
        <v>68</v>
      </c>
      <c r="C51" s="294" t="s">
        <v>69</v>
      </c>
      <c r="D51" s="293" t="s">
        <v>70</v>
      </c>
      <c r="E51" s="292"/>
      <c r="F51" s="302" t="s">
        <v>68</v>
      </c>
      <c r="G51" s="294" t="s">
        <v>69</v>
      </c>
      <c r="H51" s="303" t="s">
        <v>70</v>
      </c>
      <c r="I51" s="112"/>
      <c r="J51" s="5"/>
    </row>
    <row r="52" spans="1:10" ht="15">
      <c r="A52" s="110" t="s">
        <v>65</v>
      </c>
      <c r="B52" s="114">
        <f>+B53*0.1</f>
        <v>6600</v>
      </c>
      <c r="C52" s="292">
        <f>C53/(1-0.2)</f>
        <v>18.75</v>
      </c>
      <c r="D52" s="293">
        <f>C52*B52</f>
        <v>123750</v>
      </c>
      <c r="E52" s="294" t="str">
        <f>E46</f>
        <v>S *</v>
      </c>
      <c r="F52" s="295">
        <f>B53</f>
        <v>66000</v>
      </c>
      <c r="G52" s="292">
        <f>C54</f>
        <v>15.340909090909092</v>
      </c>
      <c r="H52" s="296">
        <f>G52*F52</f>
        <v>1012500</v>
      </c>
      <c r="I52" s="125" t="s">
        <v>76</v>
      </c>
      <c r="J52" s="126" t="s">
        <v>75</v>
      </c>
    </row>
    <row r="53" spans="1:10" ht="15">
      <c r="A53" s="110" t="s">
        <v>66</v>
      </c>
      <c r="B53" s="114">
        <v>66000</v>
      </c>
      <c r="C53" s="297">
        <f>+D53/B53</f>
        <v>15</v>
      </c>
      <c r="D53" s="293">
        <v>990000</v>
      </c>
      <c r="E53" s="294" t="s">
        <v>67</v>
      </c>
      <c r="F53" s="298">
        <f>B52</f>
        <v>6600</v>
      </c>
      <c r="G53" s="292">
        <f>G52</f>
        <v>15.340909090909092</v>
      </c>
      <c r="H53" s="296">
        <f>G53*F53</f>
        <v>101250</v>
      </c>
      <c r="I53" s="112">
        <f>I48</f>
        <v>24545.454545454544</v>
      </c>
      <c r="J53" s="5"/>
    </row>
    <row r="54" spans="2:10" ht="15">
      <c r="B54" s="101">
        <f>SUM(B52:B53)</f>
        <v>72600</v>
      </c>
      <c r="C54" s="292">
        <f>+D54/B54</f>
        <v>15.340909090909092</v>
      </c>
      <c r="D54" s="299">
        <f>SUM(D52:D53)</f>
        <v>1113750</v>
      </c>
      <c r="E54" s="300"/>
      <c r="F54" s="301"/>
      <c r="G54" s="300"/>
      <c r="H54" s="296">
        <f>SUM(H52:H53)</f>
        <v>1113750</v>
      </c>
      <c r="I54" s="112"/>
      <c r="J54" s="5"/>
    </row>
    <row r="55" spans="2:10" ht="15">
      <c r="B55" s="116"/>
      <c r="C55" s="5"/>
      <c r="D55" s="120"/>
      <c r="E55" s="5"/>
      <c r="F55" s="116"/>
      <c r="G55" s="5"/>
      <c r="H55" s="123"/>
      <c r="I55" s="112"/>
      <c r="J55" s="5"/>
    </row>
    <row r="56" spans="1:10" ht="25.5" customHeight="1">
      <c r="A56" s="43" t="s">
        <v>53</v>
      </c>
      <c r="B56" s="43"/>
      <c r="C56" s="43"/>
      <c r="D56" s="5"/>
      <c r="E56" s="5"/>
      <c r="F56" s="5"/>
      <c r="G56" s="5"/>
      <c r="H56" s="5"/>
      <c r="I56" s="5"/>
      <c r="J56" s="5"/>
    </row>
    <row r="57" spans="5:7" ht="15.75" thickBot="1">
      <c r="E57" s="30"/>
      <c r="F57" s="30"/>
      <c r="G57" s="30"/>
    </row>
    <row r="58" spans="1:7" s="2" customFormat="1" ht="15">
      <c r="A58" s="44"/>
      <c r="B58" s="305" t="s">
        <v>19</v>
      </c>
      <c r="C58" s="306"/>
      <c r="D58" s="307"/>
      <c r="E58" s="305" t="s">
        <v>20</v>
      </c>
      <c r="F58" s="306"/>
      <c r="G58" s="307"/>
    </row>
    <row r="59" spans="1:11" s="45" customFormat="1" ht="15">
      <c r="A59" s="128"/>
      <c r="B59" s="129" t="s">
        <v>21</v>
      </c>
      <c r="C59" s="130" t="s">
        <v>22</v>
      </c>
      <c r="D59" s="131" t="s">
        <v>6</v>
      </c>
      <c r="E59" s="132" t="s">
        <v>21</v>
      </c>
      <c r="F59" s="130" t="s">
        <v>22</v>
      </c>
      <c r="G59" s="131" t="s">
        <v>6</v>
      </c>
      <c r="I59" s="149" t="s">
        <v>78</v>
      </c>
      <c r="K59" s="46"/>
    </row>
    <row r="60" spans="1:9" ht="33.75" customHeight="1">
      <c r="A60" s="133" t="s">
        <v>23</v>
      </c>
      <c r="B60" s="134"/>
      <c r="C60" s="135"/>
      <c r="D60" s="136"/>
      <c r="E60" s="137"/>
      <c r="F60" s="135"/>
      <c r="G60" s="138"/>
      <c r="I60" s="146">
        <v>30000</v>
      </c>
    </row>
    <row r="61" spans="1:9" ht="33.75" customHeight="1">
      <c r="A61" s="139" t="s">
        <v>71</v>
      </c>
      <c r="B61" s="62">
        <v>30000</v>
      </c>
      <c r="C61" s="127">
        <f>+G46</f>
        <v>30.681818181818183</v>
      </c>
      <c r="D61" s="65">
        <f>+C61*B61</f>
        <v>920454.5454545455</v>
      </c>
      <c r="E61" s="61">
        <v>6000</v>
      </c>
      <c r="F61" s="127">
        <f>+C61</f>
        <v>30.681818181818183</v>
      </c>
      <c r="G61" s="58">
        <f>F61*E61</f>
        <v>184090.9090909091</v>
      </c>
      <c r="I61" s="147">
        <v>24000</v>
      </c>
    </row>
    <row r="62" spans="1:9" ht="33.75" customHeight="1">
      <c r="A62" s="139" t="s">
        <v>72</v>
      </c>
      <c r="B62" s="62">
        <v>60000</v>
      </c>
      <c r="C62" s="127">
        <f>+G52</f>
        <v>15.340909090909092</v>
      </c>
      <c r="D62" s="65">
        <f>C62*B62</f>
        <v>920454.5454545455</v>
      </c>
      <c r="E62" s="61">
        <v>6000</v>
      </c>
      <c r="F62" s="127">
        <f>+C62</f>
        <v>15.340909090909092</v>
      </c>
      <c r="G62" s="58">
        <f>F62*E62</f>
        <v>92045.45454545454</v>
      </c>
      <c r="I62" s="147">
        <v>72000</v>
      </c>
    </row>
    <row r="63" spans="1:9" ht="33.75" customHeight="1">
      <c r="A63" s="140" t="s">
        <v>77</v>
      </c>
      <c r="B63" s="141">
        <v>0</v>
      </c>
      <c r="C63" s="142">
        <v>0</v>
      </c>
      <c r="D63" s="143">
        <v>0</v>
      </c>
      <c r="E63" s="145"/>
      <c r="F63" s="142"/>
      <c r="G63" s="144">
        <f>SUM(I60:I64)</f>
        <v>210000</v>
      </c>
      <c r="I63" s="147">
        <v>72000</v>
      </c>
    </row>
    <row r="64" spans="1:9" ht="44.25" thickBot="1">
      <c r="A64" s="37" t="s">
        <v>24</v>
      </c>
      <c r="B64" s="108">
        <v>90000</v>
      </c>
      <c r="C64" s="165">
        <f>E31</f>
        <v>3.4649856936329138</v>
      </c>
      <c r="D64" s="65">
        <f>B64*C64</f>
        <v>311848.7124269622</v>
      </c>
      <c r="E64" s="109">
        <f>+E30-B64</f>
        <v>66000</v>
      </c>
      <c r="F64" s="165">
        <f>E31</f>
        <v>3.4649856936329138</v>
      </c>
      <c r="G64" s="65">
        <f>E64*F64</f>
        <v>228689.05577977232</v>
      </c>
      <c r="I64" s="148">
        <v>12000</v>
      </c>
    </row>
    <row r="65" spans="1:7" s="2" customFormat="1" ht="30.75" thickBot="1">
      <c r="A65" s="78" t="s">
        <v>25</v>
      </c>
      <c r="B65" s="79"/>
      <c r="C65" s="166"/>
      <c r="D65" s="81">
        <f>SUM(D60:D64)</f>
        <v>2152757.803336053</v>
      </c>
      <c r="E65" s="82"/>
      <c r="F65" s="166"/>
      <c r="G65" s="81">
        <f>SUM(G60:G64)</f>
        <v>714825.419416136</v>
      </c>
    </row>
    <row r="66" spans="1:7" ht="29.25">
      <c r="A66" s="37" t="s">
        <v>26</v>
      </c>
      <c r="B66" s="62">
        <v>6000</v>
      </c>
      <c r="C66" s="167"/>
      <c r="D66" s="65">
        <v>720000</v>
      </c>
      <c r="E66" s="61">
        <v>1800</v>
      </c>
      <c r="F66" s="167"/>
      <c r="G66" s="65">
        <v>216000</v>
      </c>
    </row>
    <row r="67" spans="1:7" ht="30" thickBot="1">
      <c r="A67" s="37" t="s">
        <v>27</v>
      </c>
      <c r="B67" s="108">
        <v>6600</v>
      </c>
      <c r="C67" s="165">
        <f>+F31</f>
        <v>160.7938935282247</v>
      </c>
      <c r="D67" s="65">
        <f>B67*C67</f>
        <v>1061239.697286283</v>
      </c>
      <c r="E67" s="109">
        <v>2220</v>
      </c>
      <c r="F67" s="165">
        <f>F31</f>
        <v>160.7938935282247</v>
      </c>
      <c r="G67" s="65">
        <f>E67*F67</f>
        <v>356962.4436326588</v>
      </c>
    </row>
    <row r="68" spans="1:7" s="2" customFormat="1" ht="30.75" thickBot="1">
      <c r="A68" s="78" t="s">
        <v>28</v>
      </c>
      <c r="B68" s="79"/>
      <c r="C68" s="166"/>
      <c r="D68" s="81">
        <f>SUM(D66:D67)</f>
        <v>1781239.697286283</v>
      </c>
      <c r="E68" s="82"/>
      <c r="F68" s="166"/>
      <c r="G68" s="81">
        <f>SUM(G66:G67)</f>
        <v>572962.4436326588</v>
      </c>
    </row>
    <row r="69" spans="1:7" ht="29.25">
      <c r="A69" s="37" t="s">
        <v>29</v>
      </c>
      <c r="B69" s="62">
        <v>12000</v>
      </c>
      <c r="C69" s="167"/>
      <c r="D69" s="65">
        <v>1440000</v>
      </c>
      <c r="E69" s="61">
        <v>6000</v>
      </c>
      <c r="F69" s="167"/>
      <c r="G69" s="65">
        <v>720000</v>
      </c>
    </row>
    <row r="70" spans="1:7" ht="30" thickBot="1">
      <c r="A70" s="37" t="s">
        <v>30</v>
      </c>
      <c r="B70" s="62">
        <f>B69</f>
        <v>12000</v>
      </c>
      <c r="C70" s="165">
        <f>G31</f>
        <v>51.419184984186536</v>
      </c>
      <c r="D70" s="65">
        <f>B70*C70</f>
        <v>617030.2198102385</v>
      </c>
      <c r="E70" s="61">
        <f>E69</f>
        <v>6000</v>
      </c>
      <c r="F70" s="165">
        <f>G31</f>
        <v>51.419184984186536</v>
      </c>
      <c r="G70" s="65">
        <f>E70*F70</f>
        <v>308515.1099051192</v>
      </c>
    </row>
    <row r="71" spans="1:10" ht="30.75" thickBot="1">
      <c r="A71" s="78" t="s">
        <v>31</v>
      </c>
      <c r="B71" s="83"/>
      <c r="C71" s="166"/>
      <c r="D71" s="81">
        <f>SUM(D69:D70)</f>
        <v>2057030.2198102386</v>
      </c>
      <c r="E71" s="82"/>
      <c r="F71" s="166"/>
      <c r="G71" s="81">
        <f>SUM(G69:G70)</f>
        <v>1028515.1099051193</v>
      </c>
      <c r="H71" s="2"/>
      <c r="I71" s="2"/>
      <c r="J71" s="2"/>
    </row>
    <row r="72" spans="1:7" ht="15">
      <c r="A72" s="49" t="s">
        <v>32</v>
      </c>
      <c r="B72" s="66"/>
      <c r="C72" s="168"/>
      <c r="D72" s="67">
        <f>D68+D71+D65</f>
        <v>5991027.720432575</v>
      </c>
      <c r="E72" s="68"/>
      <c r="F72" s="171"/>
      <c r="G72" s="67">
        <f>G71+G68+G65</f>
        <v>2316302.972953914</v>
      </c>
    </row>
    <row r="73" spans="1:9" ht="30.75" customHeight="1">
      <c r="A73" s="50" t="s">
        <v>54</v>
      </c>
      <c r="B73" s="31"/>
      <c r="C73" s="167"/>
      <c r="D73" s="51">
        <f>D72/($D$72+$G$72)</f>
        <v>0.7211736165988991</v>
      </c>
      <c r="E73" s="52"/>
      <c r="F73" s="172"/>
      <c r="G73" s="51">
        <f>G72/($D$72+$G$72)</f>
        <v>0.27882638340110083</v>
      </c>
      <c r="I73" s="173" t="s">
        <v>80</v>
      </c>
    </row>
    <row r="74" spans="1:9" ht="29.25">
      <c r="A74" s="37" t="s">
        <v>34</v>
      </c>
      <c r="B74" s="31"/>
      <c r="C74" s="167"/>
      <c r="D74" s="65">
        <f>SUM(I28:J28)*D73</f>
        <v>1180009.0195372445</v>
      </c>
      <c r="E74" s="61"/>
      <c r="F74" s="167"/>
      <c r="G74" s="65">
        <f>SUM(I28:J28)*G73</f>
        <v>456225.29682923935</v>
      </c>
      <c r="I74" s="174">
        <f>SUM(D74:G74)</f>
        <v>1636234.316366484</v>
      </c>
    </row>
    <row r="75" spans="1:7" ht="15">
      <c r="A75" s="157" t="s">
        <v>79</v>
      </c>
      <c r="B75" s="153">
        <f>H33/100</f>
        <v>81000</v>
      </c>
      <c r="C75" s="169">
        <f>H31</f>
        <v>15.123315843891051</v>
      </c>
      <c r="D75" s="154">
        <f>+C75*B75</f>
        <v>1224988.583355175</v>
      </c>
      <c r="E75" s="155">
        <f>+H34/100</f>
        <v>65100</v>
      </c>
      <c r="F75" s="169">
        <f>C75</f>
        <v>15.123315843891051</v>
      </c>
      <c r="G75" s="156">
        <f>F75*E75</f>
        <v>984527.8614373074</v>
      </c>
    </row>
    <row r="76" spans="1:10" ht="15.75" thickBot="1">
      <c r="A76" s="150" t="s">
        <v>33</v>
      </c>
      <c r="B76" s="150"/>
      <c r="C76" s="170"/>
      <c r="D76" s="151">
        <f>D74+D72+D75</f>
        <v>8396025.323324995</v>
      </c>
      <c r="E76" s="152"/>
      <c r="F76" s="170"/>
      <c r="G76" s="151">
        <f>G74+G72+G75</f>
        <v>3757056.131220461</v>
      </c>
      <c r="H76" s="2"/>
      <c r="I76" s="2"/>
      <c r="J76" s="2"/>
    </row>
    <row r="77" spans="1:10" ht="30.75" thickBot="1">
      <c r="A77" s="47" t="s">
        <v>35</v>
      </c>
      <c r="B77" s="177">
        <f>+D76</f>
        <v>8396025.323324995</v>
      </c>
      <c r="C77" s="178">
        <v>30000</v>
      </c>
      <c r="D77" s="48">
        <f>D76/30000</f>
        <v>279.86751077749983</v>
      </c>
      <c r="E77" s="179">
        <f>+G76</f>
        <v>3757056.131220461</v>
      </c>
      <c r="F77" s="178">
        <f>I77*I78</f>
        <v>10500</v>
      </c>
      <c r="G77" s="48">
        <f>G76/F77</f>
        <v>357.81486964004387</v>
      </c>
      <c r="H77" s="2"/>
      <c r="I77" s="175">
        <v>150</v>
      </c>
      <c r="J77" s="2"/>
    </row>
    <row r="78" spans="1:9" ht="15.75" thickBot="1">
      <c r="A78" s="84" t="s">
        <v>36</v>
      </c>
      <c r="B78" s="84"/>
      <c r="C78" s="85"/>
      <c r="D78" s="86">
        <v>270</v>
      </c>
      <c r="E78" s="87"/>
      <c r="F78" s="85"/>
      <c r="G78" s="86">
        <v>620</v>
      </c>
      <c r="I78" s="174">
        <v>70</v>
      </c>
    </row>
    <row r="79" spans="1:10" ht="15.75" thickBot="1">
      <c r="A79" s="79" t="s">
        <v>37</v>
      </c>
      <c r="B79" s="79"/>
      <c r="C79" s="80"/>
      <c r="D79" s="88">
        <f>D78-D77</f>
        <v>-9.867510777499831</v>
      </c>
      <c r="E79" s="89"/>
      <c r="F79" s="80"/>
      <c r="G79" s="88">
        <f>G78-G77</f>
        <v>262.18513035995613</v>
      </c>
      <c r="H79" s="2"/>
      <c r="I79" s="2"/>
      <c r="J79" s="2"/>
    </row>
    <row r="81" spans="1:10" ht="15">
      <c r="A81" s="304" t="s">
        <v>55</v>
      </c>
      <c r="B81" s="304"/>
      <c r="C81" s="304"/>
      <c r="D81" s="304"/>
      <c r="E81" s="304"/>
      <c r="F81" s="304"/>
      <c r="G81" s="304"/>
      <c r="H81" s="304"/>
      <c r="I81" s="304"/>
      <c r="J81" s="304"/>
    </row>
    <row r="82" spans="1:10" ht="15.75" thickBot="1">
      <c r="A82" s="304"/>
      <c r="B82" s="304"/>
      <c r="C82" s="304"/>
      <c r="D82" s="304"/>
      <c r="E82" s="304"/>
      <c r="F82" s="304"/>
      <c r="G82" s="304"/>
      <c r="H82" s="304"/>
      <c r="I82" s="304"/>
      <c r="J82" s="304"/>
    </row>
    <row r="83" spans="3:7" ht="15.75" thickBot="1">
      <c r="C83" s="176" t="s">
        <v>64</v>
      </c>
      <c r="D83" s="227">
        <f>+D78*C77</f>
        <v>8100000</v>
      </c>
      <c r="E83" s="227"/>
      <c r="F83" s="227"/>
      <c r="G83" s="228">
        <f>+G78*F77</f>
        <v>6510000</v>
      </c>
    </row>
  </sheetData>
  <sheetProtection/>
  <mergeCells count="12">
    <mergeCell ref="A42:J42"/>
    <mergeCell ref="H15:J15"/>
    <mergeCell ref="A82:J82"/>
    <mergeCell ref="B58:D58"/>
    <mergeCell ref="E58:G58"/>
    <mergeCell ref="A81:J81"/>
    <mergeCell ref="A1:K1"/>
    <mergeCell ref="B15:D15"/>
    <mergeCell ref="E15:G15"/>
    <mergeCell ref="A43:J43"/>
    <mergeCell ref="A9:J9"/>
    <mergeCell ref="A41:J41"/>
  </mergeCells>
  <printOptions/>
  <pageMargins left="0" right="0" top="0" bottom="0" header="0" footer="0"/>
  <pageSetup fitToHeight="1" fitToWidth="1" horizontalDpi="360" verticalDpi="360" orientation="portrait" paperSize="9" scale="56" r:id="rId1"/>
</worksheet>
</file>

<file path=xl/worksheets/sheet2.xml><?xml version="1.0" encoding="utf-8"?>
<worksheet xmlns="http://schemas.openxmlformats.org/spreadsheetml/2006/main" xmlns:r="http://schemas.openxmlformats.org/officeDocument/2006/relationships">
  <dimension ref="B5:K46"/>
  <sheetViews>
    <sheetView zoomScalePageLayoutView="0" workbookViewId="0" topLeftCell="A1">
      <selection activeCell="E40" sqref="E40"/>
    </sheetView>
  </sheetViews>
  <sheetFormatPr defaultColWidth="11.421875" defaultRowHeight="12.75"/>
  <cols>
    <col min="5" max="5" width="18.421875" style="0" customWidth="1"/>
    <col min="7" max="7" width="17.421875" style="0" customWidth="1"/>
    <col min="9" max="9" width="23.00390625" style="0" customWidth="1"/>
  </cols>
  <sheetData>
    <row r="5" spans="2:10" ht="14.25">
      <c r="B5" s="164" t="s">
        <v>88</v>
      </c>
      <c r="C5" s="116"/>
      <c r="D5" s="5"/>
      <c r="E5" s="120"/>
      <c r="F5" s="5"/>
      <c r="G5" s="116"/>
      <c r="H5" s="5"/>
      <c r="I5" s="123"/>
      <c r="J5" s="112"/>
    </row>
    <row r="6" spans="2:10" ht="14.25">
      <c r="B6" s="164" t="s">
        <v>81</v>
      </c>
      <c r="C6" s="180" t="s">
        <v>68</v>
      </c>
      <c r="D6" s="181" t="s">
        <v>69</v>
      </c>
      <c r="E6" s="182" t="s">
        <v>70</v>
      </c>
      <c r="F6" s="5"/>
      <c r="G6" s="116"/>
      <c r="H6" s="5"/>
      <c r="I6" s="123"/>
      <c r="J6" s="112"/>
    </row>
    <row r="7" spans="2:10" ht="14.25">
      <c r="B7" s="183" t="s">
        <v>82</v>
      </c>
      <c r="C7" s="114"/>
      <c r="D7" s="110"/>
      <c r="E7" s="117"/>
      <c r="F7" s="5"/>
      <c r="G7" s="116"/>
      <c r="H7" s="5"/>
      <c r="I7" s="123"/>
      <c r="J7" s="112"/>
    </row>
    <row r="8" spans="2:10" ht="14.25">
      <c r="B8" s="183" t="s">
        <v>71</v>
      </c>
      <c r="C8" s="114">
        <f>+'Coûts complets'!B47</f>
        <v>36000</v>
      </c>
      <c r="D8" s="110">
        <f>+'Coûts complets'!C46</f>
        <v>37.5</v>
      </c>
      <c r="E8" s="117">
        <f>+D8*C8</f>
        <v>1350000</v>
      </c>
      <c r="F8" s="5"/>
      <c r="G8" s="193" t="s">
        <v>85</v>
      </c>
      <c r="H8" s="188"/>
      <c r="I8" s="189"/>
      <c r="J8" s="112"/>
    </row>
    <row r="9" spans="2:10" ht="14.25">
      <c r="B9" s="183" t="s">
        <v>72</v>
      </c>
      <c r="C9" s="114">
        <f>+'Coûts complets'!B53</f>
        <v>66000</v>
      </c>
      <c r="D9" s="110">
        <f>+'Coûts complets'!C52</f>
        <v>18.75</v>
      </c>
      <c r="E9" s="117">
        <f>D9*C9</f>
        <v>1237500</v>
      </c>
      <c r="F9" s="5"/>
      <c r="G9" s="194">
        <f>2*E8</f>
        <v>2700000</v>
      </c>
      <c r="H9" s="112"/>
      <c r="I9" s="195"/>
      <c r="J9" s="112"/>
    </row>
    <row r="10" spans="2:10" ht="14.25">
      <c r="B10" s="183" t="s">
        <v>83</v>
      </c>
      <c r="C10" s="114"/>
      <c r="D10" s="110"/>
      <c r="E10" s="117"/>
      <c r="F10" s="5"/>
      <c r="G10" s="194">
        <f>2*E11</f>
        <v>2160000</v>
      </c>
      <c r="H10" s="112"/>
      <c r="I10" s="195"/>
      <c r="J10" s="112"/>
    </row>
    <row r="11" spans="2:10" ht="14.25">
      <c r="B11" s="183" t="s">
        <v>71</v>
      </c>
      <c r="C11" s="114">
        <f>C8</f>
        <v>36000</v>
      </c>
      <c r="D11" s="110">
        <f>'Coûts complets'!C47</f>
        <v>30</v>
      </c>
      <c r="E11" s="117">
        <f>+D11*C11</f>
        <v>1080000</v>
      </c>
      <c r="F11" s="5"/>
      <c r="G11" s="196">
        <f>G10/G9-1</f>
        <v>-0.19999999999999996</v>
      </c>
      <c r="H11" s="197" t="s">
        <v>87</v>
      </c>
      <c r="I11" s="192">
        <f>G10-G9</f>
        <v>-540000</v>
      </c>
      <c r="J11" s="112"/>
    </row>
    <row r="12" spans="2:10" ht="14.25">
      <c r="B12" s="183" t="s">
        <v>72</v>
      </c>
      <c r="C12" s="114">
        <f>C9</f>
        <v>66000</v>
      </c>
      <c r="D12" s="110">
        <f>'Coûts complets'!C53</f>
        <v>15</v>
      </c>
      <c r="E12" s="117">
        <f>D12*C12</f>
        <v>990000</v>
      </c>
      <c r="F12" s="5"/>
      <c r="G12" s="116"/>
      <c r="H12" s="1"/>
      <c r="I12" s="123"/>
      <c r="J12" s="112"/>
    </row>
    <row r="13" spans="2:10" ht="14.25">
      <c r="B13" s="111" t="s">
        <v>84</v>
      </c>
      <c r="C13" s="184"/>
      <c r="D13" s="185"/>
      <c r="E13" s="186"/>
      <c r="F13" s="5"/>
      <c r="G13" s="187" t="s">
        <v>86</v>
      </c>
      <c r="H13" s="188"/>
      <c r="I13" s="189"/>
      <c r="J13" s="112"/>
    </row>
    <row r="14" spans="2:10" ht="14.25">
      <c r="B14" s="1"/>
      <c r="C14" s="5"/>
      <c r="D14" s="5"/>
      <c r="E14" s="5"/>
      <c r="F14" s="5"/>
      <c r="G14" s="190">
        <f>1/12*0.1</f>
        <v>0.008333333333333333</v>
      </c>
      <c r="H14" s="191">
        <f>-I11</f>
        <v>540000</v>
      </c>
      <c r="I14" s="192">
        <f>H14*G14</f>
        <v>4500</v>
      </c>
      <c r="J14" s="112"/>
    </row>
    <row r="18" spans="2:11" ht="14.25">
      <c r="B18" s="111" t="s">
        <v>71</v>
      </c>
      <c r="C18" s="110" t="s">
        <v>68</v>
      </c>
      <c r="D18" s="110" t="s">
        <v>69</v>
      </c>
      <c r="E18" s="110" t="s">
        <v>70</v>
      </c>
      <c r="F18" s="91"/>
      <c r="G18" s="110" t="s">
        <v>68</v>
      </c>
      <c r="H18" s="110" t="s">
        <v>69</v>
      </c>
      <c r="I18" s="110" t="s">
        <v>70</v>
      </c>
      <c r="J18" s="112"/>
      <c r="K18" s="5"/>
    </row>
    <row r="19" spans="2:11" ht="28.5">
      <c r="B19" s="110" t="s">
        <v>65</v>
      </c>
      <c r="C19" s="114">
        <f>+C20*0.1</f>
        <v>3600</v>
      </c>
      <c r="D19" s="91">
        <f>D20/(1-0.2)</f>
        <v>31.25</v>
      </c>
      <c r="E19" s="117">
        <f>D19*C19</f>
        <v>112500</v>
      </c>
      <c r="F19" s="110" t="s">
        <v>73</v>
      </c>
      <c r="G19" s="102">
        <f>C21-G20</f>
        <v>36000</v>
      </c>
      <c r="H19" s="91">
        <f>D21</f>
        <v>25.568181818181817</v>
      </c>
      <c r="I19" s="121">
        <f>H19*G19</f>
        <v>920454.5454545454</v>
      </c>
      <c r="J19" s="125" t="s">
        <v>74</v>
      </c>
      <c r="K19" s="126" t="s">
        <v>75</v>
      </c>
    </row>
    <row r="20" spans="2:11" ht="14.25">
      <c r="B20" s="110" t="s">
        <v>66</v>
      </c>
      <c r="C20" s="114">
        <v>36000</v>
      </c>
      <c r="D20" s="91">
        <f>+E20/C20</f>
        <v>25</v>
      </c>
      <c r="E20" s="117">
        <v>900000</v>
      </c>
      <c r="F20" s="110" t="s">
        <v>67</v>
      </c>
      <c r="G20" s="101">
        <f>+C19</f>
        <v>3600</v>
      </c>
      <c r="H20" s="91">
        <f>H19</f>
        <v>25.568181818181817</v>
      </c>
      <c r="I20" s="121">
        <f>H20*G20</f>
        <v>92045.45454545454</v>
      </c>
      <c r="J20" s="112"/>
      <c r="K20" s="5"/>
    </row>
    <row r="21" spans="2:11" ht="14.25">
      <c r="B21" s="1"/>
      <c r="C21" s="101">
        <f>SUM(C19:C20)</f>
        <v>39600</v>
      </c>
      <c r="D21" s="91">
        <f>+E21/C21</f>
        <v>25.568181818181817</v>
      </c>
      <c r="E21" s="118">
        <f>SUM(E19:E20)</f>
        <v>1012500</v>
      </c>
      <c r="F21" s="5"/>
      <c r="G21" s="116"/>
      <c r="H21" s="5"/>
      <c r="I21" s="121">
        <f>SUM(I19:I20)</f>
        <v>1012500</v>
      </c>
      <c r="J21" s="112"/>
      <c r="K21" s="5"/>
    </row>
    <row r="22" spans="2:11" ht="14.25">
      <c r="B22" s="1"/>
      <c r="C22" s="115"/>
      <c r="D22" s="112"/>
      <c r="E22" s="119"/>
      <c r="F22" s="5"/>
      <c r="G22" s="116"/>
      <c r="H22" s="5"/>
      <c r="I22" s="122"/>
      <c r="J22" s="112"/>
      <c r="K22" s="5"/>
    </row>
    <row r="23" spans="2:11" ht="14.25">
      <c r="B23" s="1"/>
      <c r="C23" s="116"/>
      <c r="D23" s="113">
        <f>D26/D25-1</f>
        <v>-0.19999999999999984</v>
      </c>
      <c r="E23" s="120"/>
      <c r="F23" s="5"/>
      <c r="G23" s="116"/>
      <c r="H23" s="5"/>
      <c r="I23" s="123"/>
      <c r="J23" s="112"/>
      <c r="K23" s="5"/>
    </row>
    <row r="24" spans="2:11" ht="14.25">
      <c r="B24" s="111" t="s">
        <v>72</v>
      </c>
      <c r="C24" s="114" t="s">
        <v>68</v>
      </c>
      <c r="D24" s="110" t="s">
        <v>69</v>
      </c>
      <c r="E24" s="117" t="s">
        <v>70</v>
      </c>
      <c r="F24" s="91"/>
      <c r="G24" s="114" t="s">
        <v>68</v>
      </c>
      <c r="H24" s="110" t="s">
        <v>69</v>
      </c>
      <c r="I24" s="124" t="s">
        <v>70</v>
      </c>
      <c r="J24" s="112"/>
      <c r="K24" s="5"/>
    </row>
    <row r="25" spans="2:11" ht="28.5">
      <c r="B25" s="110" t="s">
        <v>65</v>
      </c>
      <c r="C25" s="114">
        <f>+C26*0.1</f>
        <v>6600</v>
      </c>
      <c r="D25" s="91">
        <f>D26/(1-0.2)</f>
        <v>17.045454545454543</v>
      </c>
      <c r="E25" s="117">
        <f>D25*C25</f>
        <v>112499.99999999999</v>
      </c>
      <c r="F25" s="110" t="str">
        <f>F19</f>
        <v>S *</v>
      </c>
      <c r="G25" s="102">
        <f>C26</f>
        <v>66000</v>
      </c>
      <c r="H25" s="91">
        <f>D27</f>
        <v>13.946280991735538</v>
      </c>
      <c r="I25" s="121">
        <f>H25*G25</f>
        <v>920454.5454545455</v>
      </c>
      <c r="J25" s="125" t="s">
        <v>76</v>
      </c>
      <c r="K25" s="126" t="s">
        <v>75</v>
      </c>
    </row>
    <row r="26" spans="2:11" ht="14.25">
      <c r="B26" s="110" t="s">
        <v>66</v>
      </c>
      <c r="C26" s="114">
        <v>66000</v>
      </c>
      <c r="D26" s="91">
        <f>+E26/C26</f>
        <v>13.636363636363637</v>
      </c>
      <c r="E26" s="117">
        <f>+E20</f>
        <v>900000</v>
      </c>
      <c r="F26" s="110" t="s">
        <v>67</v>
      </c>
      <c r="G26" s="101">
        <f>C25</f>
        <v>6600</v>
      </c>
      <c r="H26" s="91">
        <f>H25</f>
        <v>13.946280991735538</v>
      </c>
      <c r="I26" s="121">
        <f>H26*G26</f>
        <v>92045.45454545454</v>
      </c>
      <c r="J26" s="112"/>
      <c r="K26" s="5"/>
    </row>
    <row r="27" spans="2:11" ht="14.25">
      <c r="B27" s="1"/>
      <c r="C27" s="101">
        <f>SUM(C25:C26)</f>
        <v>72600</v>
      </c>
      <c r="D27" s="91">
        <f>+E27/C27</f>
        <v>13.946280991735538</v>
      </c>
      <c r="E27" s="118">
        <f>SUM(E25:E26)</f>
        <v>1012500</v>
      </c>
      <c r="F27" s="5"/>
      <c r="G27" s="116"/>
      <c r="H27" s="5"/>
      <c r="I27" s="121">
        <f>SUM(I25:I26)</f>
        <v>1012500.0000000001</v>
      </c>
      <c r="J27" s="112"/>
      <c r="K27" s="5"/>
    </row>
    <row r="29" ht="13.5" thickBot="1">
      <c r="G29" s="198"/>
    </row>
    <row r="30" spans="3:9" s="198" customFormat="1" ht="13.5" thickBot="1">
      <c r="C30" s="219"/>
      <c r="D30" s="217" t="s">
        <v>89</v>
      </c>
      <c r="E30" s="218" t="s">
        <v>94</v>
      </c>
      <c r="F30" s="218" t="s">
        <v>90</v>
      </c>
      <c r="G30" s="218" t="s">
        <v>84</v>
      </c>
      <c r="H30" s="218" t="s">
        <v>68</v>
      </c>
      <c r="I30" s="236" t="s">
        <v>93</v>
      </c>
    </row>
    <row r="31" spans="4:9" s="198" customFormat="1" ht="13.5" thickBot="1">
      <c r="D31" s="199"/>
      <c r="F31" s="199"/>
      <c r="G31" s="199"/>
      <c r="H31" s="199"/>
      <c r="I31" s="199"/>
    </row>
    <row r="32" spans="2:9" s="198" customFormat="1" ht="12.75">
      <c r="B32" s="205" t="s">
        <v>71</v>
      </c>
      <c r="C32" s="206" t="s">
        <v>91</v>
      </c>
      <c r="D32" s="207">
        <f>+D19</f>
        <v>31.25</v>
      </c>
      <c r="E32" s="208">
        <v>1.5</v>
      </c>
      <c r="F32" s="209">
        <f>E32*D32</f>
        <v>46.875</v>
      </c>
      <c r="G32" s="207">
        <f>+F32-D32</f>
        <v>15.625</v>
      </c>
      <c r="H32" s="210">
        <v>30000</v>
      </c>
      <c r="I32" s="237">
        <f>H32*G32</f>
        <v>468750</v>
      </c>
    </row>
    <row r="33" spans="2:9" s="198" customFormat="1" ht="13.5" thickBot="1">
      <c r="B33" s="211"/>
      <c r="C33" s="212" t="s">
        <v>92</v>
      </c>
      <c r="D33" s="213"/>
      <c r="E33" s="213"/>
      <c r="F33" s="214">
        <f>+F32</f>
        <v>46.875</v>
      </c>
      <c r="G33" s="215">
        <f>G32</f>
        <v>15.625</v>
      </c>
      <c r="H33" s="216">
        <v>6000</v>
      </c>
      <c r="I33" s="238">
        <f>H33*G33</f>
        <v>93750</v>
      </c>
    </row>
    <row r="34" spans="2:9" s="198" customFormat="1" ht="12.75">
      <c r="B34" s="205" t="s">
        <v>72</v>
      </c>
      <c r="C34" s="206" t="s">
        <v>91</v>
      </c>
      <c r="D34" s="207">
        <f>+D25</f>
        <v>17.045454545454543</v>
      </c>
      <c r="E34" s="208">
        <v>1.55</v>
      </c>
      <c r="F34" s="209">
        <f>E34*D34</f>
        <v>26.420454545454543</v>
      </c>
      <c r="G34" s="207">
        <f>F34-D34</f>
        <v>9.375</v>
      </c>
      <c r="H34" s="210">
        <v>60000</v>
      </c>
      <c r="I34" s="237">
        <f>H34*G34</f>
        <v>562500</v>
      </c>
    </row>
    <row r="35" spans="2:9" s="198" customFormat="1" ht="13.5" thickBot="1">
      <c r="B35" s="211"/>
      <c r="C35" s="212" t="s">
        <v>92</v>
      </c>
      <c r="D35" s="213"/>
      <c r="E35" s="213"/>
      <c r="F35" s="214">
        <f>+F34</f>
        <v>26.420454545454543</v>
      </c>
      <c r="G35" s="215">
        <f>G34</f>
        <v>9.375</v>
      </c>
      <c r="H35" s="216">
        <v>6000</v>
      </c>
      <c r="I35" s="238">
        <f>H35*G35</f>
        <v>56250</v>
      </c>
    </row>
    <row r="36" spans="6:9" s="198" customFormat="1" ht="13.5" thickBot="1">
      <c r="F36" s="200"/>
      <c r="H36" s="202"/>
      <c r="I36" s="202"/>
    </row>
    <row r="37" spans="6:11" ht="13.5" thickBot="1">
      <c r="F37" s="201"/>
      <c r="H37" s="220" t="s">
        <v>93</v>
      </c>
      <c r="I37" s="204">
        <f>SUM(I32:I35)</f>
        <v>1181250</v>
      </c>
      <c r="K37" s="225">
        <f>+I37/I39</f>
        <v>0.09719757120184466</v>
      </c>
    </row>
    <row r="38" spans="8:9" ht="13.5" thickBot="1">
      <c r="H38" s="203"/>
      <c r="I38" s="203"/>
    </row>
    <row r="39" spans="7:9" ht="13.5" thickBot="1">
      <c r="G39" s="222" t="s">
        <v>82</v>
      </c>
      <c r="H39" s="223" t="s">
        <v>95</v>
      </c>
      <c r="I39" s="224">
        <f>'Coûts complets'!D76+'Coûts complets'!G76</f>
        <v>12153081.454545457</v>
      </c>
    </row>
    <row r="40" ht="13.5" thickBot="1"/>
    <row r="41" spans="8:9" ht="13.5" thickBot="1">
      <c r="H41" s="222" t="s">
        <v>6</v>
      </c>
      <c r="I41" s="226">
        <f>+I39+I37</f>
        <v>13334331.454545457</v>
      </c>
    </row>
    <row r="42" ht="13.5" thickBot="1"/>
    <row r="43" spans="8:9" ht="13.5" thickBot="1">
      <c r="H43" s="222" t="s">
        <v>64</v>
      </c>
      <c r="I43" s="229">
        <f>'Coûts complets'!D83+'Coûts complets'!G83</f>
        <v>14610000</v>
      </c>
    </row>
    <row r="44" ht="13.5" thickBot="1"/>
    <row r="45" spans="8:11" ht="13.5" thickBot="1">
      <c r="H45" s="222" t="s">
        <v>96</v>
      </c>
      <c r="I45" s="226">
        <f>+I43-I41</f>
        <v>1275668.545454543</v>
      </c>
      <c r="K45" s="230">
        <f>I45/I43</f>
        <v>0.08731475328230959</v>
      </c>
    </row>
    <row r="46" ht="12.75">
      <c r="K46" s="221"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5:L44"/>
  <sheetViews>
    <sheetView zoomScalePageLayoutView="0" workbookViewId="0" topLeftCell="A23">
      <selection activeCell="K40" sqref="K40"/>
    </sheetView>
  </sheetViews>
  <sheetFormatPr defaultColWidth="11.421875" defaultRowHeight="12.75"/>
  <cols>
    <col min="2" max="2" width="27.57421875" style="0" customWidth="1"/>
    <col min="3" max="9" width="11.421875" style="198" customWidth="1"/>
    <col min="10" max="10" width="14.140625" style="198" customWidth="1"/>
    <col min="11" max="11" width="15.8515625" style="198" customWidth="1"/>
    <col min="12" max="12" width="11.421875" style="198" customWidth="1"/>
  </cols>
  <sheetData>
    <row r="4" ht="13.5" thickBot="1"/>
    <row r="5" spans="2:12" ht="15.75" thickBot="1">
      <c r="B5" s="6"/>
      <c r="C5" s="310" t="s">
        <v>7</v>
      </c>
      <c r="D5" s="311"/>
      <c r="E5" s="312"/>
      <c r="F5" s="310" t="s">
        <v>8</v>
      </c>
      <c r="G5" s="311"/>
      <c r="H5" s="312"/>
      <c r="I5" s="310" t="s">
        <v>11</v>
      </c>
      <c r="J5" s="311"/>
      <c r="K5" s="312"/>
      <c r="L5" s="7"/>
    </row>
    <row r="6" spans="2:12" ht="15.75" thickBot="1">
      <c r="B6" s="8" t="s">
        <v>44</v>
      </c>
      <c r="C6" s="99" t="s">
        <v>61</v>
      </c>
      <c r="D6" s="10" t="s">
        <v>0</v>
      </c>
      <c r="E6" s="11" t="s">
        <v>1</v>
      </c>
      <c r="F6" s="12" t="s">
        <v>2</v>
      </c>
      <c r="G6" s="13" t="s">
        <v>3</v>
      </c>
      <c r="H6" s="11" t="s">
        <v>4</v>
      </c>
      <c r="I6" s="9" t="s">
        <v>5</v>
      </c>
      <c r="J6" s="10" t="s">
        <v>9</v>
      </c>
      <c r="K6" s="14" t="s">
        <v>10</v>
      </c>
      <c r="L6" s="15" t="s">
        <v>6</v>
      </c>
    </row>
    <row r="7" spans="2:12" ht="15">
      <c r="B7" s="69" t="s">
        <v>12</v>
      </c>
      <c r="C7" s="249">
        <v>178400</v>
      </c>
      <c r="D7" s="249">
        <v>60000</v>
      </c>
      <c r="E7" s="250">
        <v>168960</v>
      </c>
      <c r="F7" s="249">
        <v>533490</v>
      </c>
      <c r="G7" s="249">
        <v>1310400</v>
      </c>
      <c r="H7" s="250">
        <v>678000</v>
      </c>
      <c r="I7" s="249">
        <v>2182500</v>
      </c>
      <c r="J7" s="249">
        <v>785000</v>
      </c>
      <c r="K7" s="251">
        <v>833286</v>
      </c>
      <c r="L7" s="252">
        <v>6730036</v>
      </c>
    </row>
    <row r="8" spans="2:12" ht="14.25">
      <c r="B8" s="17"/>
      <c r="C8" s="253"/>
      <c r="D8" s="253"/>
      <c r="E8" s="254"/>
      <c r="F8" s="253"/>
      <c r="G8" s="253"/>
      <c r="H8" s="254"/>
      <c r="I8" s="253"/>
      <c r="J8" s="253"/>
      <c r="K8" s="253"/>
      <c r="L8" s="255"/>
    </row>
    <row r="9" spans="2:12" ht="15">
      <c r="B9" s="76" t="s">
        <v>13</v>
      </c>
      <c r="C9" s="256"/>
      <c r="D9" s="256"/>
      <c r="E9" s="257"/>
      <c r="F9" s="256"/>
      <c r="G9" s="256"/>
      <c r="H9" s="257"/>
      <c r="I9" s="256"/>
      <c r="J9" s="256"/>
      <c r="K9" s="256"/>
      <c r="L9" s="258">
        <v>60000</v>
      </c>
    </row>
    <row r="10" spans="2:12" ht="14.25">
      <c r="B10" s="100"/>
      <c r="C10" s="259"/>
      <c r="D10" s="260"/>
      <c r="E10" s="261"/>
      <c r="F10" s="259"/>
      <c r="G10" s="260"/>
      <c r="H10" s="261"/>
      <c r="I10" s="259"/>
      <c r="J10" s="260"/>
      <c r="K10" s="262"/>
      <c r="L10" s="255"/>
    </row>
    <row r="11" spans="2:12" ht="15">
      <c r="B11" s="76" t="s">
        <v>63</v>
      </c>
      <c r="C11" s="263"/>
      <c r="D11" s="264"/>
      <c r="E11" s="265"/>
      <c r="F11" s="263"/>
      <c r="G11" s="264"/>
      <c r="H11" s="265"/>
      <c r="I11" s="256"/>
      <c r="J11" s="266"/>
      <c r="K11" s="267"/>
      <c r="L11" s="258">
        <v>182158.8097102584</v>
      </c>
    </row>
    <row r="12" spans="2:12" ht="15">
      <c r="B12" s="17"/>
      <c r="C12" s="259"/>
      <c r="D12" s="260"/>
      <c r="E12" s="261"/>
      <c r="F12" s="259"/>
      <c r="G12" s="260"/>
      <c r="H12" s="261"/>
      <c r="I12" s="259"/>
      <c r="J12" s="260"/>
      <c r="K12" s="262"/>
      <c r="L12" s="268"/>
    </row>
    <row r="13" spans="2:12" ht="15">
      <c r="B13" s="76" t="s">
        <v>16</v>
      </c>
      <c r="C13" s="256"/>
      <c r="D13" s="266"/>
      <c r="E13" s="257"/>
      <c r="F13" s="256"/>
      <c r="G13" s="266"/>
      <c r="H13" s="257"/>
      <c r="I13" s="256"/>
      <c r="J13" s="266"/>
      <c r="K13" s="267"/>
      <c r="L13" s="258">
        <v>171309.25606891152</v>
      </c>
    </row>
    <row r="14" spans="2:12" ht="15">
      <c r="B14" s="22"/>
      <c r="C14" s="256"/>
      <c r="D14" s="266"/>
      <c r="E14" s="257"/>
      <c r="F14" s="256"/>
      <c r="G14" s="266"/>
      <c r="H14" s="257"/>
      <c r="I14" s="266"/>
      <c r="J14" s="269"/>
      <c r="K14" s="266"/>
      <c r="L14" s="258"/>
    </row>
    <row r="15" spans="2:12" ht="15.75" thickBot="1">
      <c r="B15" s="239" t="s">
        <v>51</v>
      </c>
      <c r="C15" s="270"/>
      <c r="D15" s="271"/>
      <c r="E15" s="272"/>
      <c r="F15" s="270"/>
      <c r="G15" s="271"/>
      <c r="H15" s="272"/>
      <c r="I15" s="270"/>
      <c r="J15" s="270"/>
      <c r="K15" s="270"/>
      <c r="L15" s="273">
        <v>6730036</v>
      </c>
    </row>
    <row r="16" spans="2:12" ht="28.5" customHeight="1">
      <c r="B16" s="240" t="s">
        <v>102</v>
      </c>
      <c r="C16" s="241"/>
      <c r="D16" s="242"/>
      <c r="E16" s="243"/>
      <c r="F16" s="245"/>
      <c r="G16" s="246"/>
      <c r="H16" s="247"/>
      <c r="I16" s="248"/>
      <c r="J16" s="274"/>
      <c r="K16" s="275"/>
      <c r="L16" s="276"/>
    </row>
    <row r="17" spans="2:12" ht="30" customHeight="1" thickBot="1">
      <c r="B17" s="244" t="s">
        <v>103</v>
      </c>
      <c r="C17" s="277"/>
      <c r="D17" s="278"/>
      <c r="E17" s="279"/>
      <c r="F17" s="280"/>
      <c r="G17" s="281"/>
      <c r="H17" s="282"/>
      <c r="I17" s="283"/>
      <c r="J17" s="284"/>
      <c r="K17" s="285"/>
      <c r="L17" s="286"/>
    </row>
    <row r="23" ht="13.5" thickBot="1"/>
    <row r="24" spans="2:8" ht="15">
      <c r="B24" s="44"/>
      <c r="C24" s="305" t="s">
        <v>19</v>
      </c>
      <c r="D24" s="306"/>
      <c r="E24" s="307"/>
      <c r="F24" s="305" t="s">
        <v>20</v>
      </c>
      <c r="G24" s="306"/>
      <c r="H24" s="307"/>
    </row>
    <row r="25" spans="2:8" ht="14.25">
      <c r="B25" s="128"/>
      <c r="C25" s="129" t="s">
        <v>21</v>
      </c>
      <c r="D25" s="130" t="s">
        <v>22</v>
      </c>
      <c r="E25" s="131" t="s">
        <v>6</v>
      </c>
      <c r="F25" s="132" t="s">
        <v>21</v>
      </c>
      <c r="G25" s="130" t="s">
        <v>22</v>
      </c>
      <c r="H25" s="131" t="s">
        <v>6</v>
      </c>
    </row>
    <row r="26" spans="2:8" ht="14.25">
      <c r="B26" s="133"/>
      <c r="C26" s="134"/>
      <c r="D26" s="135"/>
      <c r="E26" s="136"/>
      <c r="F26" s="137"/>
      <c r="G26" s="135"/>
      <c r="H26" s="138"/>
    </row>
    <row r="27" spans="2:8" ht="14.25">
      <c r="B27" s="139"/>
      <c r="C27" s="62"/>
      <c r="D27" s="127"/>
      <c r="E27" s="65"/>
      <c r="F27" s="61"/>
      <c r="G27" s="127"/>
      <c r="H27" s="58"/>
    </row>
    <row r="28" spans="2:8" ht="14.25">
      <c r="B28" s="139"/>
      <c r="C28" s="62"/>
      <c r="D28" s="127"/>
      <c r="E28" s="65"/>
      <c r="F28" s="61"/>
      <c r="G28" s="127"/>
      <c r="H28" s="58"/>
    </row>
    <row r="29" spans="2:8" ht="14.25">
      <c r="B29" s="140"/>
      <c r="C29" s="141"/>
      <c r="D29" s="142"/>
      <c r="E29" s="143"/>
      <c r="F29" s="145"/>
      <c r="G29" s="142"/>
      <c r="H29" s="144"/>
    </row>
    <row r="30" spans="2:8" ht="15" thickBot="1">
      <c r="B30" s="37"/>
      <c r="C30" s="108"/>
      <c r="D30" s="165"/>
      <c r="E30" s="65"/>
      <c r="F30" s="109"/>
      <c r="G30" s="165"/>
      <c r="H30" s="65"/>
    </row>
    <row r="31" spans="2:8" ht="15.75" thickBot="1">
      <c r="B31" s="78"/>
      <c r="C31" s="79"/>
      <c r="D31" s="166"/>
      <c r="E31" s="81"/>
      <c r="F31" s="82"/>
      <c r="G31" s="166"/>
      <c r="H31" s="81"/>
    </row>
    <row r="32" spans="2:8" ht="14.25">
      <c r="B32" s="37"/>
      <c r="C32" s="62"/>
      <c r="D32" s="167"/>
      <c r="E32" s="65"/>
      <c r="F32" s="61"/>
      <c r="G32" s="167"/>
      <c r="H32" s="65"/>
    </row>
    <row r="33" spans="2:8" ht="14.25">
      <c r="B33" s="37"/>
      <c r="C33" s="108"/>
      <c r="D33" s="165"/>
      <c r="E33" s="65"/>
      <c r="F33" s="109"/>
      <c r="G33" s="165"/>
      <c r="H33" s="65"/>
    </row>
    <row r="34" spans="2:8" ht="14.25">
      <c r="B34" s="37"/>
      <c r="C34" s="62"/>
      <c r="D34" s="167"/>
      <c r="E34" s="65"/>
      <c r="F34" s="61"/>
      <c r="G34" s="167"/>
      <c r="H34" s="65"/>
    </row>
    <row r="35" spans="2:8" ht="15" thickBot="1">
      <c r="B35" s="37"/>
      <c r="C35" s="62"/>
      <c r="D35" s="165"/>
      <c r="E35" s="65"/>
      <c r="F35" s="61"/>
      <c r="G35" s="165"/>
      <c r="H35" s="65"/>
    </row>
    <row r="36" spans="2:8" ht="15.75" thickBot="1">
      <c r="B36" s="78"/>
      <c r="C36" s="83"/>
      <c r="D36" s="166"/>
      <c r="E36" s="81"/>
      <c r="F36" s="82"/>
      <c r="G36" s="166"/>
      <c r="H36" s="81"/>
    </row>
    <row r="37" spans="2:8" ht="15">
      <c r="B37" s="49"/>
      <c r="C37" s="66"/>
      <c r="D37" s="168"/>
      <c r="E37" s="67"/>
      <c r="F37" s="68"/>
      <c r="G37" s="171"/>
      <c r="H37" s="67"/>
    </row>
    <row r="38" spans="2:8" ht="14.25">
      <c r="B38" s="50"/>
      <c r="C38" s="31"/>
      <c r="D38" s="167"/>
      <c r="E38" s="51"/>
      <c r="F38" s="52"/>
      <c r="G38" s="172"/>
      <c r="H38" s="51"/>
    </row>
    <row r="39" spans="2:8" ht="14.25">
      <c r="B39" s="37"/>
      <c r="C39" s="31"/>
      <c r="D39" s="167"/>
      <c r="E39" s="65"/>
      <c r="F39" s="61"/>
      <c r="G39" s="167"/>
      <c r="H39" s="65"/>
    </row>
    <row r="40" spans="2:8" ht="14.25">
      <c r="B40" s="157"/>
      <c r="C40" s="153"/>
      <c r="D40" s="169"/>
      <c r="E40" s="154"/>
      <c r="F40" s="155"/>
      <c r="G40" s="169"/>
      <c r="H40" s="156"/>
    </row>
    <row r="41" spans="2:8" ht="15.75" thickBot="1">
      <c r="B41" s="150" t="s">
        <v>33</v>
      </c>
      <c r="C41" s="150"/>
      <c r="D41" s="170"/>
      <c r="E41" s="151"/>
      <c r="F41" s="152"/>
      <c r="G41" s="170"/>
      <c r="H41" s="151"/>
    </row>
    <row r="42" spans="2:8" ht="30.75" thickBot="1">
      <c r="B42" s="47" t="s">
        <v>35</v>
      </c>
      <c r="C42" s="177"/>
      <c r="D42" s="178"/>
      <c r="E42" s="48"/>
      <c r="F42" s="179"/>
      <c r="G42" s="178"/>
      <c r="H42" s="48"/>
    </row>
    <row r="43" spans="2:8" ht="15.75" thickBot="1">
      <c r="B43" s="84" t="s">
        <v>36</v>
      </c>
      <c r="C43" s="84"/>
      <c r="D43" s="85"/>
      <c r="E43" s="86"/>
      <c r="F43" s="87"/>
      <c r="G43" s="85"/>
      <c r="H43" s="86"/>
    </row>
    <row r="44" spans="2:8" ht="15.75" thickBot="1">
      <c r="B44" s="79" t="s">
        <v>37</v>
      </c>
      <c r="C44" s="79"/>
      <c r="D44" s="80"/>
      <c r="E44" s="88"/>
      <c r="F44" s="89"/>
      <c r="G44" s="80"/>
      <c r="H44" s="88"/>
    </row>
  </sheetData>
  <sheetProtection/>
  <mergeCells count="5">
    <mergeCell ref="C5:E5"/>
    <mergeCell ref="F5:H5"/>
    <mergeCell ref="I5:K5"/>
    <mergeCell ref="C24:E24"/>
    <mergeCell ref="F24:H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Hélios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scilien</cp:lastModifiedBy>
  <cp:lastPrinted>2007-10-15T16:55:57Z</cp:lastPrinted>
  <dcterms:created xsi:type="dcterms:W3CDTF">2002-11-28T18:56:33Z</dcterms:created>
  <dcterms:modified xsi:type="dcterms:W3CDTF">2010-12-17T15:25:07Z</dcterms:modified>
  <cp:category/>
  <cp:version/>
  <cp:contentType/>
  <cp:contentStatus/>
</cp:coreProperties>
</file>