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65416" windowWidth="8160" windowHeight="8700" firstSheet="1" activeTab="1"/>
  </bookViews>
  <sheets>
    <sheet name="Repêchage 2008" sheetId="1" r:id="rId1"/>
    <sheet name="Choix en ordre" sheetId="2" r:id="rId2"/>
    <sheet name="Statistique" sheetId="3" r:id="rId3"/>
    <sheet name="réclamation 2008-09" sheetId="4" r:id="rId4"/>
    <sheet name="Échange 2008-09" sheetId="5" r:id="rId5"/>
  </sheets>
  <externalReferences>
    <externalReference r:id="rId8"/>
  </externalReferences>
  <definedNames>
    <definedName name="_xlnm._FilterDatabase" localSheetId="1" hidden="1">'Choix en ordre'!$A$7:$E$270</definedName>
    <definedName name="_xlnm._FilterDatabase" localSheetId="3" hidden="1">'réclamation 2008-09'!$A$8:$M$60</definedName>
  </definedNames>
  <calcPr fullCalcOnLoad="1" iterate="1" iterateCount="300" iterateDelta="0.001"/>
</workbook>
</file>

<file path=xl/sharedStrings.xml><?xml version="1.0" encoding="utf-8"?>
<sst xmlns="http://schemas.openxmlformats.org/spreadsheetml/2006/main" count="3360" uniqueCount="503">
  <si>
    <t>1er Rondes</t>
  </si>
  <si>
    <t>2eme Rondes</t>
  </si>
  <si>
    <t>Pos</t>
  </si>
  <si>
    <t>Pooleurs</t>
  </si>
  <si>
    <t>Échange</t>
  </si>
  <si>
    <t>Équipe</t>
  </si>
  <si>
    <t>Joueurs</t>
  </si>
  <si>
    <t>1-</t>
  </si>
  <si>
    <t>Hugo</t>
  </si>
  <si>
    <t>R/C</t>
  </si>
  <si>
    <t>T.B.</t>
  </si>
  <si>
    <t>Steven Stamkos</t>
  </si>
  <si>
    <t>A</t>
  </si>
  <si>
    <t>N.J.</t>
  </si>
  <si>
    <t>Brian Gionta</t>
  </si>
  <si>
    <t>2-</t>
  </si>
  <si>
    <t>Jonathan</t>
  </si>
  <si>
    <t>Phi</t>
  </si>
  <si>
    <t>Simon Gagne</t>
  </si>
  <si>
    <t>R/D</t>
  </si>
  <si>
    <t>L.A.</t>
  </si>
  <si>
    <t>Drew Doughty</t>
  </si>
  <si>
    <t>3-</t>
  </si>
  <si>
    <t>Gaetan</t>
  </si>
  <si>
    <t>R/A</t>
  </si>
  <si>
    <t>Nyi</t>
  </si>
  <si>
    <t>Kyle Okposo</t>
  </si>
  <si>
    <t>Sylvain</t>
  </si>
  <si>
    <t>G</t>
  </si>
  <si>
    <t>Nsh</t>
  </si>
  <si>
    <t>Dan Ellis</t>
  </si>
  <si>
    <t>4-</t>
  </si>
  <si>
    <t>Maxime</t>
  </si>
  <si>
    <t>D</t>
  </si>
  <si>
    <t>Nyr</t>
  </si>
  <si>
    <t>Wade Redden</t>
  </si>
  <si>
    <t>Fla</t>
  </si>
  <si>
    <t>Jay Bouwmeester</t>
  </si>
  <si>
    <t>5-</t>
  </si>
  <si>
    <t>Patrick B.</t>
  </si>
  <si>
    <t>C</t>
  </si>
  <si>
    <t>Wsh</t>
  </si>
  <si>
    <t>Michael Nylander</t>
  </si>
  <si>
    <t>Ted Purcell</t>
  </si>
  <si>
    <t>6-</t>
  </si>
  <si>
    <t>Gilles</t>
  </si>
  <si>
    <t>Patrick O'Sullivan</t>
  </si>
  <si>
    <t>Dustin Brown</t>
  </si>
  <si>
    <t>7-</t>
  </si>
  <si>
    <t xml:space="preserve">Phil </t>
  </si>
  <si>
    <t>Phx</t>
  </si>
  <si>
    <t>Kyle Turris</t>
  </si>
  <si>
    <t>Phil</t>
  </si>
  <si>
    <t>Bryan Mccabe</t>
  </si>
  <si>
    <t>8-</t>
  </si>
  <si>
    <t>Cbj</t>
  </si>
  <si>
    <t>Jakub Voracek</t>
  </si>
  <si>
    <t>Stl</t>
  </si>
  <si>
    <t>Andy McDonald</t>
  </si>
  <si>
    <t>9-</t>
  </si>
  <si>
    <t xml:space="preserve">Johnny </t>
  </si>
  <si>
    <t>Brad Boyes</t>
  </si>
  <si>
    <t>Johnny</t>
  </si>
  <si>
    <t>Cory Stillman</t>
  </si>
  <si>
    <t>10-</t>
  </si>
  <si>
    <t>Patrick L.</t>
  </si>
  <si>
    <t>Ed Jovanovski</t>
  </si>
  <si>
    <t>Jason Arnott</t>
  </si>
  <si>
    <t>3eme Rondes</t>
  </si>
  <si>
    <t>4eme Rondes</t>
  </si>
  <si>
    <t>S.J.</t>
  </si>
  <si>
    <t>Jonathan Cheechoo</t>
  </si>
  <si>
    <t>Tomas Vokoun</t>
  </si>
  <si>
    <t>Nikolai Zherdev</t>
  </si>
  <si>
    <t>Michal Rozsival</t>
  </si>
  <si>
    <t>Ana</t>
  </si>
  <si>
    <t>Mathieu Schneider</t>
  </si>
  <si>
    <t>Chris Drury</t>
  </si>
  <si>
    <t>Chi</t>
  </si>
  <si>
    <t>Patrick Sharp</t>
  </si>
  <si>
    <t>Matin Erat</t>
  </si>
  <si>
    <t>Pit</t>
  </si>
  <si>
    <t>Mirolav Satan</t>
  </si>
  <si>
    <t>Shea Weber</t>
  </si>
  <si>
    <t>Col</t>
  </si>
  <si>
    <t>Milan Hejduk</t>
  </si>
  <si>
    <t>NHL</t>
  </si>
  <si>
    <t>Teemu Selanne</t>
  </si>
  <si>
    <t>Brian Rolston</t>
  </si>
  <si>
    <t>Det</t>
  </si>
  <si>
    <t>Johan Franzen</t>
  </si>
  <si>
    <t>Van</t>
  </si>
  <si>
    <t>Pavol Demitra</t>
  </si>
  <si>
    <t>R/G</t>
  </si>
  <si>
    <t>Pekka Rinne</t>
  </si>
  <si>
    <t>Markus Naslund</t>
  </si>
  <si>
    <t>Radim Vrbata</t>
  </si>
  <si>
    <t>Min</t>
  </si>
  <si>
    <t>Andrew Brunette</t>
  </si>
  <si>
    <t>R.J. Umberger</t>
  </si>
  <si>
    <t>5eme Rondes</t>
  </si>
  <si>
    <t>6eme Rondes</t>
  </si>
  <si>
    <t>Andrej Meszaros</t>
  </si>
  <si>
    <t>Bos</t>
  </si>
  <si>
    <t>Dennis Wideman</t>
  </si>
  <si>
    <t>Car</t>
  </si>
  <si>
    <t>Joni Pitkanen</t>
  </si>
  <si>
    <t>Marco Sturm</t>
  </si>
  <si>
    <t>Cristobal Huet</t>
  </si>
  <si>
    <t>Mtl</t>
  </si>
  <si>
    <t>Robert Lang</t>
  </si>
  <si>
    <t>Edm</t>
  </si>
  <si>
    <t>Erik Cole</t>
  </si>
  <si>
    <t>John-Michael Liles</t>
  </si>
  <si>
    <t>Niklas Kronvall</t>
  </si>
  <si>
    <t>Rob Brind'Amour</t>
  </si>
  <si>
    <t>Dustin Byfuglien</t>
  </si>
  <si>
    <t>Joffrey Lupul</t>
  </si>
  <si>
    <t>Dal</t>
  </si>
  <si>
    <t>Philippe Boucher</t>
  </si>
  <si>
    <t>Buf</t>
  </si>
  <si>
    <t>Maxim Afinogenov</t>
  </si>
  <si>
    <t>Patrice Bergeron</t>
  </si>
  <si>
    <t>Patrick B</t>
  </si>
  <si>
    <t>Mathieu Garon</t>
  </si>
  <si>
    <t>Atl</t>
  </si>
  <si>
    <t>Jason Williams</t>
  </si>
  <si>
    <t>Chris Kunitz</t>
  </si>
  <si>
    <t>Patrick Marleau</t>
  </si>
  <si>
    <t>Fabian Brunnstrom</t>
  </si>
  <si>
    <t>7eme Rondes</t>
  </si>
  <si>
    <t>8eme Rondes</t>
  </si>
  <si>
    <t>Saku Koivu</t>
  </si>
  <si>
    <t>Ryan Smyth</t>
  </si>
  <si>
    <t xml:space="preserve">Maxime </t>
  </si>
  <si>
    <t>Rick Dipietro</t>
  </si>
  <si>
    <t>Thomas Holmstrom</t>
  </si>
  <si>
    <t>Michael Ryder</t>
  </si>
  <si>
    <t>Justin Penner</t>
  </si>
  <si>
    <t>Wojtek Wolski</t>
  </si>
  <si>
    <t>Tor</t>
  </si>
  <si>
    <t>Pavel Kubina</t>
  </si>
  <si>
    <t>S.J</t>
  </si>
  <si>
    <t>Joe Pavelski</t>
  </si>
  <si>
    <t>Vyacheslav Kozlov</t>
  </si>
  <si>
    <t>Jeff Carter</t>
  </si>
  <si>
    <t>Jarret Stoll</t>
  </si>
  <si>
    <t>Drew Stafford</t>
  </si>
  <si>
    <t>Kevin Bieksa</t>
  </si>
  <si>
    <t>Steve Bernier</t>
  </si>
  <si>
    <t>Mikko Koivu</t>
  </si>
  <si>
    <t>Mike Comrie</t>
  </si>
  <si>
    <t>Jaroslav Spacek</t>
  </si>
  <si>
    <t>Ryan Malone</t>
  </si>
  <si>
    <t>Ott</t>
  </si>
  <si>
    <t>Filip Kuba</t>
  </si>
  <si>
    <t>9eme Rondes</t>
  </si>
  <si>
    <t>10eme Rondes</t>
  </si>
  <si>
    <t>Mike Van Ryn</t>
  </si>
  <si>
    <t>Derick Brassard</t>
  </si>
  <si>
    <t>Jochen Hecht</t>
  </si>
  <si>
    <t>Ron Hainsey</t>
  </si>
  <si>
    <t>Brent Seabrook</t>
  </si>
  <si>
    <t>Nik Antropov</t>
  </si>
  <si>
    <t>Keith Tkachuk</t>
  </si>
  <si>
    <t>Claude Giroux</t>
  </si>
  <si>
    <t>Rob Blake</t>
  </si>
  <si>
    <t>Alex Goligoski</t>
  </si>
  <si>
    <t>Tim Connolly</t>
  </si>
  <si>
    <t>Brett Sterling</t>
  </si>
  <si>
    <t>Mike Knuble</t>
  </si>
  <si>
    <t>Shawn Mathias</t>
  </si>
  <si>
    <t>Antoine Vermette</t>
  </si>
  <si>
    <t>Mikkel Boedker</t>
  </si>
  <si>
    <t>T.J. Oshie</t>
  </si>
  <si>
    <t>Jere Lehtinen</t>
  </si>
  <si>
    <t>Duncan Keith</t>
  </si>
  <si>
    <t>Nikolai Kulemin</t>
  </si>
  <si>
    <t>11eme Rondes</t>
  </si>
  <si>
    <t>12eme Rondes</t>
  </si>
  <si>
    <t>Zach Bogosian</t>
  </si>
  <si>
    <t>Martin Gerber</t>
  </si>
  <si>
    <t>Peter Budaj</t>
  </si>
  <si>
    <t>Craig Rivet</t>
  </si>
  <si>
    <t>Viktor Kozlov</t>
  </si>
  <si>
    <t>Kyle Beach</t>
  </si>
  <si>
    <t>Cgy</t>
  </si>
  <si>
    <t>Mikael Backlund</t>
  </si>
  <si>
    <t>Paul Martin</t>
  </si>
  <si>
    <t xml:space="preserve">C </t>
  </si>
  <si>
    <t>Tom Poti</t>
  </si>
  <si>
    <t>Brian Boyle</t>
  </si>
  <si>
    <t>Patrik Berglund</t>
  </si>
  <si>
    <t>Matt Carle</t>
  </si>
  <si>
    <t>Cam Barker</t>
  </si>
  <si>
    <t>Ryan Suter</t>
  </si>
  <si>
    <t>Jamie Langenbrunner</t>
  </si>
  <si>
    <t>Adrian Aucoin</t>
  </si>
  <si>
    <t>Kari Lehtonen</t>
  </si>
  <si>
    <t>Randy Jones</t>
  </si>
  <si>
    <t>Manny Legace</t>
  </si>
  <si>
    <t>13eme Rondes</t>
  </si>
  <si>
    <t>14eme Rondes</t>
  </si>
  <si>
    <t>Paul Ranger</t>
  </si>
  <si>
    <t>Jason Blake</t>
  </si>
  <si>
    <t>Ondrej Pavelec</t>
  </si>
  <si>
    <t>Steve Sullivan</t>
  </si>
  <si>
    <t>Mats Sundin</t>
  </si>
  <si>
    <t>Ruslan Salei</t>
  </si>
  <si>
    <t>Jussi Jokinen</t>
  </si>
  <si>
    <t>Stephen Weiss</t>
  </si>
  <si>
    <t xml:space="preserve">A </t>
  </si>
  <si>
    <t>Ruslan Fedotenko</t>
  </si>
  <si>
    <t>Alex Pietrangelo</t>
  </si>
  <si>
    <t>Brooks Laich</t>
  </si>
  <si>
    <t>Jiri Hulder</t>
  </si>
  <si>
    <t>Nikolai Khabibulin</t>
  </si>
  <si>
    <t>Valtteri Filppula</t>
  </si>
  <si>
    <t>Lubomir Sekeras</t>
  </si>
  <si>
    <t>David Legwand</t>
  </si>
  <si>
    <t>Todd Bertuzzi</t>
  </si>
  <si>
    <t>Phil Kessel</t>
  </si>
  <si>
    <t>Dan Girardi</t>
  </si>
  <si>
    <t>Alexander Steen</t>
  </si>
  <si>
    <t>15eme Rondes (Début sélection équipe Réserviste)</t>
  </si>
  <si>
    <t>16eme Rondes</t>
  </si>
  <si>
    <t>Washington</t>
  </si>
  <si>
    <t>Mike Fisher</t>
  </si>
  <si>
    <t>Edmonton</t>
  </si>
  <si>
    <t>Scott Hartnell</t>
  </si>
  <si>
    <t>Chicago</t>
  </si>
  <si>
    <t>Matt Cullen</t>
  </si>
  <si>
    <t>Dan Hamhuis</t>
  </si>
  <si>
    <t>Roman Hamrlik</t>
  </si>
  <si>
    <t>Anahein</t>
  </si>
  <si>
    <t>Chris Campoli</t>
  </si>
  <si>
    <t>Sergei Samsonov</t>
  </si>
  <si>
    <t>Peter Harrold</t>
  </si>
  <si>
    <t>Brendan Morrison</t>
  </si>
  <si>
    <t>Daniel Cleary</t>
  </si>
  <si>
    <t>Nikita Filatov</t>
  </si>
  <si>
    <t>Alexander Edler</t>
  </si>
  <si>
    <t>Tampa Bay</t>
  </si>
  <si>
    <t>Tuomo Ruutu</t>
  </si>
  <si>
    <t>Francois Beauchemin</t>
  </si>
  <si>
    <t>Keith Yandle</t>
  </si>
  <si>
    <t>17eme Rondes</t>
  </si>
  <si>
    <t>18eme Rondes</t>
  </si>
  <si>
    <t>Tom Preissing</t>
  </si>
  <si>
    <t>Ty Conklin</t>
  </si>
  <si>
    <t>Kim Johnsson</t>
  </si>
  <si>
    <t>Ales Kotalik</t>
  </si>
  <si>
    <t>David Booth</t>
  </si>
  <si>
    <t>Sergei Fedorov</t>
  </si>
  <si>
    <t>Marek Svatos</t>
  </si>
  <si>
    <t>Mikael Samuelsson</t>
  </si>
  <si>
    <t>Brett Clark</t>
  </si>
  <si>
    <t>Scott Walker</t>
  </si>
  <si>
    <t>Sami Lepisto</t>
  </si>
  <si>
    <t>Tim Thomas</t>
  </si>
  <si>
    <t>Brian Pothier</t>
  </si>
  <si>
    <t>Jonathan Ericsson</t>
  </si>
  <si>
    <t>Brian Lee</t>
  </si>
  <si>
    <t>Kris Russell</t>
  </si>
  <si>
    <t>Eric Brewer</t>
  </si>
  <si>
    <t>Jack Skille</t>
  </si>
  <si>
    <t>Robert Nilsson</t>
  </si>
  <si>
    <t>Darcy Tucker</t>
  </si>
  <si>
    <t>19eme Rondes</t>
  </si>
  <si>
    <t>20eme Rondes</t>
  </si>
  <si>
    <t>Nigel Dawes</t>
  </si>
  <si>
    <t>Mike Sillinger</t>
  </si>
  <si>
    <t>Mattias Ohlund</t>
  </si>
  <si>
    <t>Mike Modano</t>
  </si>
  <si>
    <t>Brian Salcido</t>
  </si>
  <si>
    <t>Ryan Kesler</t>
  </si>
  <si>
    <t>Alexander Radulov</t>
  </si>
  <si>
    <t>Sami Salo</t>
  </si>
  <si>
    <t>Travis Zajac</t>
  </si>
  <si>
    <t>Frantisek Kaberle</t>
  </si>
  <si>
    <t>Loui Eriksson</t>
  </si>
  <si>
    <t>Steve Wagner</t>
  </si>
  <si>
    <t>Bill Guerin</t>
  </si>
  <si>
    <t>Sean Avery</t>
  </si>
  <si>
    <t>Chuck Kobasew</t>
  </si>
  <si>
    <t>Petri Kontiola</t>
  </si>
  <si>
    <t>Todd White</t>
  </si>
  <si>
    <t>Jonas Hiller</t>
  </si>
  <si>
    <t>Lee Stempniak</t>
  </si>
  <si>
    <t>R</t>
  </si>
  <si>
    <t>Viktor Tikhonov</t>
  </si>
  <si>
    <t>21eme Rondes</t>
  </si>
  <si>
    <t>22eme Rondes</t>
  </si>
  <si>
    <t>Chris Phillips</t>
  </si>
  <si>
    <t>Justin Williams</t>
  </si>
  <si>
    <t>Trent Hunter</t>
  </si>
  <si>
    <t>Dainius Zubrus</t>
  </si>
  <si>
    <t>Steven Reinprecht</t>
  </si>
  <si>
    <t>Derek Morris</t>
  </si>
  <si>
    <t>Matthew Lombardi</t>
  </si>
  <si>
    <t>Karl Alzner</t>
  </si>
  <si>
    <t>Max Pacioretty</t>
  </si>
  <si>
    <t>Emmanuel Fernandez</t>
  </si>
  <si>
    <t>Benoit Pouliot</t>
  </si>
  <si>
    <t>David Bolland</t>
  </si>
  <si>
    <t>James Sheppard</t>
  </si>
  <si>
    <t>Marc-André Bergeron</t>
  </si>
  <si>
    <t>Mason Raymond</t>
  </si>
  <si>
    <t>Anton Stralman</t>
  </si>
  <si>
    <t>Troy Brouwer</t>
  </si>
  <si>
    <t>Johnny Oduya</t>
  </si>
  <si>
    <t>Brad Stuart</t>
  </si>
  <si>
    <t>Kyle Brodziak</t>
  </si>
  <si>
    <t>23eme Rondes</t>
  </si>
  <si>
    <t>24eme Rondes</t>
  </si>
  <si>
    <t>Keith Ballard</t>
  </si>
  <si>
    <t>Tobia Stephan</t>
  </si>
  <si>
    <t>Alexei Ponikarovsky</t>
  </si>
  <si>
    <t>Eric Perrin</t>
  </si>
  <si>
    <t>Nathan Gerbe</t>
  </si>
  <si>
    <t>Niklas Hagman</t>
  </si>
  <si>
    <t>Dan Paille</t>
  </si>
  <si>
    <t>Scottie Upshall</t>
  </si>
  <si>
    <t>Erik Christensen</t>
  </si>
  <si>
    <t>Al Montoya</t>
  </si>
  <si>
    <t>Mark Recchi</t>
  </si>
  <si>
    <t>Tyler Kennedy</t>
  </si>
  <si>
    <t>Ville Koistinen</t>
  </si>
  <si>
    <t>Tomas Fleischman</t>
  </si>
  <si>
    <t>Pascal Dupuis</t>
  </si>
  <si>
    <t>Olaf Kolzig</t>
  </si>
  <si>
    <t>Fedor Tyutin</t>
  </si>
  <si>
    <t>25eme Rondes</t>
  </si>
  <si>
    <t>26eme Rondes (option)</t>
  </si>
  <si>
    <t>Guillaume Latendresse</t>
  </si>
  <si>
    <t>Kyle Wellwood</t>
  </si>
  <si>
    <t>Colby Armstrong</t>
  </si>
  <si>
    <t>Cory Schneider</t>
  </si>
  <si>
    <t>Chet Pickard</t>
  </si>
  <si>
    <t>Antti Pihlstrom</t>
  </si>
  <si>
    <t>Brett McLean</t>
  </si>
  <si>
    <t>Ryan Potulny</t>
  </si>
  <si>
    <t>Patric Hornqvist</t>
  </si>
  <si>
    <t>Pheonix</t>
  </si>
  <si>
    <t>Minnesota</t>
  </si>
  <si>
    <t>Curtis McElhinney</t>
  </si>
  <si>
    <t>Boston</t>
  </si>
  <si>
    <t>Andrew Ladd</t>
  </si>
  <si>
    <t>Buffalo</t>
  </si>
  <si>
    <t>27eme Rondes (Option)</t>
  </si>
  <si>
    <t>28eme Rondes (option)</t>
  </si>
  <si>
    <t>Stephane Robidas</t>
  </si>
  <si>
    <t>Antti Miettinen</t>
  </si>
  <si>
    <t>Leland Irving</t>
  </si>
  <si>
    <t>Michael Frolik</t>
  </si>
  <si>
    <t>Jeff Deslauriers</t>
  </si>
  <si>
    <t>Steve Mason</t>
  </si>
  <si>
    <t>Fredrik Modin</t>
  </si>
  <si>
    <t>Frederik Norrena</t>
  </si>
  <si>
    <t>Matt Stajan</t>
  </si>
  <si>
    <t>29eme Rondes (Option)</t>
  </si>
  <si>
    <t>30eme Rondes (option)</t>
  </si>
  <si>
    <t>Nashville</t>
  </si>
  <si>
    <t>Toni Lydman</t>
  </si>
  <si>
    <t>E</t>
  </si>
  <si>
    <t>83 Ailiers</t>
  </si>
  <si>
    <t>63 Défenseurs</t>
  </si>
  <si>
    <t>16 Gardiens</t>
  </si>
  <si>
    <t>10 Recrues Gardiens</t>
  </si>
  <si>
    <t>10 Équipes LNH</t>
  </si>
  <si>
    <t>263 choix au repêchage 2008</t>
  </si>
  <si>
    <t>1er Rnd</t>
  </si>
  <si>
    <t>2e Rnd</t>
  </si>
  <si>
    <t>3e Rnd</t>
  </si>
  <si>
    <t>4e Rnd</t>
  </si>
  <si>
    <t>5e Rnd</t>
  </si>
  <si>
    <t>6e Rnd</t>
  </si>
  <si>
    <t>7e Rnd</t>
  </si>
  <si>
    <t>8e Rnd</t>
  </si>
  <si>
    <t>9e Rnd</t>
  </si>
  <si>
    <t>10e Rnd</t>
  </si>
  <si>
    <t>11e Rnd</t>
  </si>
  <si>
    <t>12e Rnd</t>
  </si>
  <si>
    <t>13e Rnd</t>
  </si>
  <si>
    <t>14e Rnd</t>
  </si>
  <si>
    <t>15e Rnd</t>
  </si>
  <si>
    <t>16e Rnd</t>
  </si>
  <si>
    <t>17e Rnd</t>
  </si>
  <si>
    <t>18e Rnd</t>
  </si>
  <si>
    <t>19e Rnd</t>
  </si>
  <si>
    <t>20e Rnd</t>
  </si>
  <si>
    <t>21er Rnd</t>
  </si>
  <si>
    <t>22e Rnd</t>
  </si>
  <si>
    <t>23e Rnd</t>
  </si>
  <si>
    <t>24e Rnd</t>
  </si>
  <si>
    <t>25e Rnd</t>
  </si>
  <si>
    <t>26e Rnd</t>
  </si>
  <si>
    <t>27e Rnd</t>
  </si>
  <si>
    <t>28e Rnd</t>
  </si>
  <si>
    <t>29e Rnd</t>
  </si>
  <si>
    <t>30e Rnd</t>
  </si>
  <si>
    <t>42 Centres</t>
  </si>
  <si>
    <t>8 Recrues Centres</t>
  </si>
  <si>
    <t>21e Rnd</t>
  </si>
  <si>
    <t>Ronde</t>
  </si>
  <si>
    <t>Nbrs. Joueurs repêché par équipe</t>
  </si>
  <si>
    <t>P.J.</t>
  </si>
  <si>
    <t>Buts</t>
  </si>
  <si>
    <t>Passes</t>
  </si>
  <si>
    <t>PTS</t>
  </si>
  <si>
    <t>PTS/P.J</t>
  </si>
  <si>
    <t>Vict</t>
  </si>
  <si>
    <t>DP</t>
  </si>
  <si>
    <t>Bl.</t>
  </si>
  <si>
    <t>Pts. Gardiens</t>
  </si>
  <si>
    <t>B.P.</t>
  </si>
  <si>
    <t>B.C.</t>
  </si>
  <si>
    <t>Pts. Équipe</t>
  </si>
  <si>
    <t>P.C.</t>
  </si>
  <si>
    <t>Capitals de Washington</t>
  </si>
  <si>
    <t>Oilers d'Edmonton</t>
  </si>
  <si>
    <t>Blackhawks de Chicago</t>
  </si>
  <si>
    <t>Mighty Ducks d'Anaheim</t>
  </si>
  <si>
    <t>Lightning Tampa Bay</t>
  </si>
  <si>
    <t>Wild du Minnesota</t>
  </si>
  <si>
    <t>Coyotes de Phoenix</t>
  </si>
  <si>
    <t>Bruins de Boston</t>
  </si>
  <si>
    <t>Sabres de Buffalo</t>
  </si>
  <si>
    <t>Predators de Nashville</t>
  </si>
  <si>
    <t>12 Recrues Défenseurs</t>
  </si>
  <si>
    <t>19 Recrues Ailiers</t>
  </si>
  <si>
    <t>total</t>
  </si>
  <si>
    <t>13-10-2008</t>
  </si>
  <si>
    <t>14-10-2008</t>
  </si>
  <si>
    <t>12-10-2008</t>
  </si>
  <si>
    <t>09-10-2008</t>
  </si>
  <si>
    <t>01-10-2008</t>
  </si>
  <si>
    <t>07-10-2008</t>
  </si>
  <si>
    <t>B/V</t>
  </si>
  <si>
    <t>P/DP</t>
  </si>
  <si>
    <t>Age</t>
  </si>
  <si>
    <t>G/R</t>
  </si>
  <si>
    <t>Joueurs acquis par réclamation</t>
  </si>
  <si>
    <t>Joueurs Libéré après réclamation</t>
  </si>
  <si>
    <t>Date acquis</t>
  </si>
  <si>
    <t>16-10-2008</t>
  </si>
  <si>
    <t>17-10-2008</t>
  </si>
  <si>
    <t>É</t>
  </si>
  <si>
    <t>Blues de St-Louis</t>
  </si>
  <si>
    <t>20-10-2008</t>
  </si>
  <si>
    <t>24-10-2008</t>
  </si>
  <si>
    <t>23-10-2008</t>
  </si>
  <si>
    <t>25-10-2008</t>
  </si>
  <si>
    <t>27-10-2008</t>
  </si>
  <si>
    <t>29-10-2008</t>
  </si>
  <si>
    <t>Jimmy Howard</t>
  </si>
  <si>
    <t>30-10-2008</t>
  </si>
  <si>
    <t>01-11-2008</t>
  </si>
  <si>
    <t>02-11-2008</t>
  </si>
  <si>
    <t xml:space="preserve">G </t>
  </si>
  <si>
    <t>04-11-2008</t>
  </si>
  <si>
    <t>06-11-2008</t>
  </si>
  <si>
    <t>08-11-2008</t>
  </si>
  <si>
    <t>10-11-2008</t>
  </si>
  <si>
    <t>11-11-2008</t>
  </si>
  <si>
    <t>12-11-2008</t>
  </si>
  <si>
    <t>13-11-2008</t>
  </si>
  <si>
    <t>16-11-2008</t>
  </si>
  <si>
    <t>20-11-2008</t>
  </si>
  <si>
    <t>22-11-2008</t>
  </si>
  <si>
    <t>23-11-2008</t>
  </si>
  <si>
    <t>26-11-2008</t>
  </si>
  <si>
    <t>02-12-2008</t>
  </si>
  <si>
    <t>Chris Stewart</t>
  </si>
  <si>
    <t>Canucks de Vancouver</t>
  </si>
  <si>
    <t>28-11-2008</t>
  </si>
  <si>
    <t>04-12-2008</t>
  </si>
  <si>
    <t>05-12-2008</t>
  </si>
  <si>
    <t>06-12-2008</t>
  </si>
  <si>
    <t>08-12-2008</t>
  </si>
  <si>
    <t>09-12-2008</t>
  </si>
  <si>
    <t>John Mitchell</t>
  </si>
  <si>
    <t>C/R</t>
  </si>
  <si>
    <t>16-12-2008</t>
  </si>
  <si>
    <t>19-12-2008</t>
  </si>
  <si>
    <t>23-12-2008</t>
  </si>
  <si>
    <t>25-12-2008</t>
  </si>
  <si>
    <t>Nouveau joueur de Jonathan</t>
  </si>
  <si>
    <t xml:space="preserve">Total Points : </t>
  </si>
  <si>
    <t>Nouveau joueur de Patrick L.</t>
  </si>
  <si>
    <t>Et un 4e choix en 2009 (connaît pas encore le nombre de points)</t>
  </si>
  <si>
    <t>Jonathan versus Patrick L. en date du 26 décembre 2008</t>
  </si>
  <si>
    <t>27-12-2008</t>
  </si>
  <si>
    <t>05-01-2009</t>
  </si>
  <si>
    <t>13-01-2009</t>
  </si>
  <si>
    <t>16-01-2009</t>
  </si>
  <si>
    <t>24-01-2009</t>
  </si>
  <si>
    <t>02-02-2009</t>
  </si>
  <si>
    <t>03-02-2009</t>
  </si>
  <si>
    <t>05-02-2009</t>
  </si>
  <si>
    <t>08-02-2009</t>
  </si>
  <si>
    <t>10-02-2009</t>
  </si>
  <si>
    <t>27-02-2009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</si>
</sst>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"/>
    <numFmt numFmtId="165" formatCode="0.0000"/>
    <numFmt numFmtId="166" formatCode="0.000"/>
    <numFmt numFmtId="167" formatCode="_ * #,##0.00_)\ [$€-1]_ ;_ * \(#,##0.00\)\ [$€-1]_ ;_ * &quot;-&quot;??_)\ [$€-1]_ "/>
  </numFmts>
  <fonts count="14">
    <font>
      <sz val="10"/>
      <name val="Arial"/>
      <family val="0"/>
    </font>
    <font>
      <sz val="12"/>
      <name val="Times New Roman"/>
      <family val="0"/>
    </font>
    <font>
      <sz val="12"/>
      <name val="AcanthusSSK"/>
      <family val="0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0"/>
    </font>
    <font>
      <sz val="10"/>
      <name val="Calisto MT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sto MT"/>
      <family val="1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20" applyFont="1">
      <alignment/>
      <protection/>
    </xf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0" fontId="1" fillId="0" borderId="1" xfId="20" applyBorder="1">
      <alignment/>
      <protection/>
    </xf>
    <xf numFmtId="0" fontId="1" fillId="0" borderId="1" xfId="20" applyBorder="1" applyAlignment="1">
      <alignment horizontal="center"/>
      <protection/>
    </xf>
    <xf numFmtId="0" fontId="1" fillId="0" borderId="2" xfId="20" applyFont="1" applyBorder="1">
      <alignment/>
      <protection/>
    </xf>
    <xf numFmtId="0" fontId="1" fillId="0" borderId="3" xfId="20" applyFont="1" applyBorder="1">
      <alignment/>
      <protection/>
    </xf>
    <xf numFmtId="0" fontId="1" fillId="0" borderId="1" xfId="20" applyFont="1" applyBorder="1">
      <alignment/>
      <protection/>
    </xf>
    <xf numFmtId="0" fontId="1" fillId="0" borderId="4" xfId="20" applyFont="1" applyBorder="1">
      <alignment/>
      <protection/>
    </xf>
    <xf numFmtId="0" fontId="1" fillId="0" borderId="1" xfId="20" applyFont="1" applyBorder="1">
      <alignment/>
      <protection/>
    </xf>
    <xf numFmtId="1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2" xfId="20" applyBorder="1">
      <alignment/>
      <protection/>
    </xf>
    <xf numFmtId="0" fontId="3" fillId="0" borderId="1" xfId="20" applyFont="1" applyBorder="1">
      <alignment/>
      <protection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20" applyFont="1" applyBorder="1">
      <alignment/>
      <protection/>
    </xf>
    <xf numFmtId="0" fontId="1" fillId="0" borderId="0" xfId="20" applyFont="1" applyBorder="1">
      <alignment/>
      <protection/>
    </xf>
    <xf numFmtId="0" fontId="1" fillId="0" borderId="0" xfId="20" applyBorder="1">
      <alignment/>
      <protection/>
    </xf>
    <xf numFmtId="0" fontId="3" fillId="0" borderId="0" xfId="20" applyFont="1" applyBorder="1">
      <alignment/>
      <protection/>
    </xf>
    <xf numFmtId="0" fontId="1" fillId="0" borderId="3" xfId="0" applyFont="1" applyBorder="1" applyAlignment="1">
      <alignment horizontal="center"/>
    </xf>
    <xf numFmtId="0" fontId="1" fillId="0" borderId="1" xfId="20" applyFont="1" applyBorder="1" applyAlignment="1">
      <alignment horizontal="center"/>
      <protection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9" fontId="0" fillId="0" borderId="7" xfId="2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2" xfId="20" applyFont="1" applyBorder="1">
      <alignment/>
      <protection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5" xfId="20" applyFont="1" applyBorder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1" fillId="0" borderId="14" xfId="20" applyFont="1" applyBorder="1">
      <alignment/>
      <protection/>
    </xf>
    <xf numFmtId="0" fontId="1" fillId="0" borderId="20" xfId="20" applyFont="1" applyBorder="1">
      <alignment/>
      <protection/>
    </xf>
    <xf numFmtId="0" fontId="1" fillId="0" borderId="9" xfId="20" applyFont="1" applyBorder="1">
      <alignment/>
      <protection/>
    </xf>
    <xf numFmtId="0" fontId="1" fillId="0" borderId="21" xfId="20" applyFont="1" applyBorder="1">
      <alignment/>
      <protection/>
    </xf>
    <xf numFmtId="0" fontId="1" fillId="0" borderId="9" xfId="20" applyFont="1" applyFill="1" applyBorder="1">
      <alignment/>
      <protection/>
    </xf>
    <xf numFmtId="0" fontId="1" fillId="0" borderId="22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6" fontId="0" fillId="0" borderId="5" xfId="0" applyNumberFormat="1" applyBorder="1" applyAlignment="1">
      <alignment horizontal="center"/>
    </xf>
    <xf numFmtId="0" fontId="7" fillId="0" borderId="9" xfId="20" applyFont="1" applyFill="1" applyBorder="1">
      <alignment/>
      <protection/>
    </xf>
    <xf numFmtId="0" fontId="6" fillId="0" borderId="5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0" borderId="0" xfId="0" applyAlignment="1">
      <alignment/>
    </xf>
    <xf numFmtId="1" fontId="8" fillId="0" borderId="1" xfId="0" applyNumberFormat="1" applyFont="1" applyFill="1" applyBorder="1" applyAlignment="1">
      <alignment horizontal="center"/>
    </xf>
    <xf numFmtId="0" fontId="8" fillId="0" borderId="1" xfId="21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8" fillId="0" borderId="5" xfId="21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left"/>
    </xf>
    <xf numFmtId="1" fontId="8" fillId="0" borderId="5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1" fontId="8" fillId="0" borderId="23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8" fillId="0" borderId="23" xfId="0" applyNumberFormat="1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21" applyNumberFormat="1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4" xfId="0" applyFill="1" applyBorder="1" applyAlignment="1">
      <alignment/>
    </xf>
    <xf numFmtId="1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1" fontId="8" fillId="0" borderId="5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13" fillId="0" borderId="0" xfId="0" applyFont="1" applyAlignment="1">
      <alignment/>
    </xf>
    <xf numFmtId="1" fontId="13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8" fillId="0" borderId="1" xfId="0" applyFont="1" applyFill="1" applyBorder="1" applyAlignment="1">
      <alignment/>
    </xf>
    <xf numFmtId="1" fontId="8" fillId="0" borderId="27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11" fillId="3" borderId="1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1" fontId="8" fillId="0" borderId="1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" xfId="0" applyBorder="1" applyAlignment="1">
      <alignment/>
    </xf>
    <xf numFmtId="0" fontId="0" fillId="0" borderId="24" xfId="0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LNPH02-0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0</xdr:rowOff>
    </xdr:from>
    <xdr:to>
      <xdr:col>9</xdr:col>
      <xdr:colOff>542925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0025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0</xdr:row>
      <xdr:rowOff>57150</xdr:rowOff>
    </xdr:from>
    <xdr:to>
      <xdr:col>6</xdr:col>
      <xdr:colOff>333375</xdr:colOff>
      <xdr:row>5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7150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133350</xdr:rowOff>
    </xdr:from>
    <xdr:to>
      <xdr:col>9</xdr:col>
      <xdr:colOff>485775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33350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0</xdr:rowOff>
    </xdr:from>
    <xdr:to>
      <xdr:col>9</xdr:col>
      <xdr:colOff>352425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104775</xdr:rowOff>
    </xdr:from>
    <xdr:to>
      <xdr:col>15</xdr:col>
      <xdr:colOff>247650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04775"/>
          <a:ext cx="3124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-joueus"/>
      <sheetName val="Pool-gardien"/>
      <sheetName val="Equipes-Pool"/>
      <sheetName val="Recrue"/>
      <sheetName val="Pool Quartier 08-09"/>
      <sheetName val="Pool Quartier 07-08"/>
      <sheetName val="Regle Recrue"/>
    </sheetNames>
    <sheetDataSet>
      <sheetData sheetId="0">
        <row r="5">
          <cell r="D5" t="str">
            <v>Alexander Ovechkin</v>
          </cell>
          <cell r="E5">
            <v>64</v>
          </cell>
          <cell r="F5">
            <v>47</v>
          </cell>
          <cell r="G5">
            <v>37</v>
          </cell>
        </row>
        <row r="6">
          <cell r="D6" t="str">
            <v>Evgeni Malkin</v>
          </cell>
          <cell r="E6">
            <v>67</v>
          </cell>
          <cell r="F6">
            <v>29</v>
          </cell>
          <cell r="G6">
            <v>65</v>
          </cell>
        </row>
        <row r="7">
          <cell r="D7" t="str">
            <v>Jarome Iginla</v>
          </cell>
          <cell r="E7">
            <v>66</v>
          </cell>
          <cell r="F7">
            <v>30</v>
          </cell>
          <cell r="G7">
            <v>48</v>
          </cell>
        </row>
        <row r="8">
          <cell r="D8" t="str">
            <v>Pavel Datsyuk</v>
          </cell>
          <cell r="E8">
            <v>65</v>
          </cell>
          <cell r="F8">
            <v>25</v>
          </cell>
          <cell r="G8">
            <v>53</v>
          </cell>
        </row>
        <row r="9">
          <cell r="D9" t="str">
            <v>Joe Thornton</v>
          </cell>
          <cell r="E9">
            <v>64</v>
          </cell>
          <cell r="F9">
            <v>18</v>
          </cell>
          <cell r="G9">
            <v>54</v>
          </cell>
        </row>
        <row r="10">
          <cell r="D10" t="str">
            <v>Henrik Zetterberg</v>
          </cell>
          <cell r="E10">
            <v>61</v>
          </cell>
          <cell r="F10">
            <v>26</v>
          </cell>
          <cell r="G10">
            <v>32</v>
          </cell>
        </row>
        <row r="11">
          <cell r="D11" t="str">
            <v>Jason Spezza</v>
          </cell>
          <cell r="E11">
            <v>64</v>
          </cell>
          <cell r="F11">
            <v>23</v>
          </cell>
          <cell r="G11">
            <v>30</v>
          </cell>
        </row>
        <row r="12">
          <cell r="D12" t="str">
            <v>Vincent Lecavalier</v>
          </cell>
          <cell r="E12">
            <v>66</v>
          </cell>
          <cell r="F12">
            <v>28</v>
          </cell>
          <cell r="G12">
            <v>34</v>
          </cell>
        </row>
        <row r="13">
          <cell r="D13" t="str">
            <v>Daniel Alfredsson</v>
          </cell>
          <cell r="E13">
            <v>62</v>
          </cell>
          <cell r="F13">
            <v>20</v>
          </cell>
          <cell r="G13">
            <v>39</v>
          </cell>
        </row>
        <row r="14">
          <cell r="D14" t="str">
            <v>Ilya Kovalchuk</v>
          </cell>
          <cell r="E14">
            <v>66</v>
          </cell>
          <cell r="F14">
            <v>36</v>
          </cell>
          <cell r="G14">
            <v>40</v>
          </cell>
        </row>
        <row r="15">
          <cell r="D15" t="str">
            <v>Aleixei Kovalev</v>
          </cell>
          <cell r="E15">
            <v>64</v>
          </cell>
          <cell r="F15">
            <v>16</v>
          </cell>
          <cell r="G15">
            <v>31</v>
          </cell>
        </row>
        <row r="16">
          <cell r="D16" t="str">
            <v>Mike Ribeiro</v>
          </cell>
          <cell r="E16">
            <v>66</v>
          </cell>
          <cell r="F16">
            <v>17</v>
          </cell>
          <cell r="G16">
            <v>45</v>
          </cell>
        </row>
        <row r="17">
          <cell r="D17" t="str">
            <v>Marian Gaborik</v>
          </cell>
          <cell r="E17">
            <v>6</v>
          </cell>
          <cell r="F17">
            <v>3</v>
          </cell>
          <cell r="G17">
            <v>2</v>
          </cell>
        </row>
        <row r="18">
          <cell r="D18" t="str">
            <v>Martin St-Louis</v>
          </cell>
          <cell r="E18">
            <v>66</v>
          </cell>
          <cell r="F18">
            <v>24</v>
          </cell>
          <cell r="G18">
            <v>41</v>
          </cell>
        </row>
        <row r="19">
          <cell r="D19" t="str">
            <v>Dany Heatley</v>
          </cell>
          <cell r="E19">
            <v>64</v>
          </cell>
          <cell r="F19">
            <v>31</v>
          </cell>
          <cell r="G19">
            <v>29</v>
          </cell>
        </row>
        <row r="20">
          <cell r="D20" t="str">
            <v>Ryan Getzlaf</v>
          </cell>
          <cell r="E20">
            <v>66</v>
          </cell>
          <cell r="F20">
            <v>20</v>
          </cell>
          <cell r="G20">
            <v>51</v>
          </cell>
        </row>
        <row r="21">
          <cell r="D21" t="str">
            <v>Eric Staal</v>
          </cell>
          <cell r="E21">
            <v>67</v>
          </cell>
          <cell r="F21">
            <v>32</v>
          </cell>
          <cell r="G21">
            <v>26</v>
          </cell>
        </row>
        <row r="22">
          <cell r="D22" t="str">
            <v>Derek Roy</v>
          </cell>
          <cell r="E22">
            <v>66</v>
          </cell>
          <cell r="F22">
            <v>24</v>
          </cell>
          <cell r="G22">
            <v>36</v>
          </cell>
        </row>
        <row r="23">
          <cell r="D23" t="str">
            <v>Jason Pominville</v>
          </cell>
          <cell r="E23">
            <v>66</v>
          </cell>
          <cell r="F23">
            <v>14</v>
          </cell>
          <cell r="G23">
            <v>33</v>
          </cell>
        </row>
        <row r="24">
          <cell r="D24" t="str">
            <v>Marc Savard</v>
          </cell>
          <cell r="E24">
            <v>67</v>
          </cell>
          <cell r="F24">
            <v>21</v>
          </cell>
          <cell r="G24">
            <v>52</v>
          </cell>
        </row>
        <row r="25">
          <cell r="B25">
            <v>38.09041095890411</v>
          </cell>
          <cell r="C25" t="str">
            <v>Van</v>
          </cell>
          <cell r="D25" t="str">
            <v>Mats Sundin</v>
          </cell>
          <cell r="E25">
            <v>23</v>
          </cell>
          <cell r="F25">
            <v>7</v>
          </cell>
          <cell r="G25">
            <v>9</v>
          </cell>
        </row>
        <row r="26">
          <cell r="D26" t="str">
            <v>Shane Doan</v>
          </cell>
          <cell r="E26">
            <v>65</v>
          </cell>
          <cell r="F26">
            <v>24</v>
          </cell>
          <cell r="G26">
            <v>31</v>
          </cell>
        </row>
        <row r="27">
          <cell r="D27" t="str">
            <v>Anze Kopitar</v>
          </cell>
          <cell r="E27">
            <v>65</v>
          </cell>
          <cell r="F27">
            <v>23</v>
          </cell>
          <cell r="G27">
            <v>34</v>
          </cell>
        </row>
        <row r="28">
          <cell r="D28" t="str">
            <v>Henrik Sedin</v>
          </cell>
          <cell r="E28">
            <v>64</v>
          </cell>
          <cell r="F28">
            <v>12</v>
          </cell>
          <cell r="G28">
            <v>48</v>
          </cell>
        </row>
        <row r="29">
          <cell r="D29" t="str">
            <v>Mike Richards</v>
          </cell>
          <cell r="E29">
            <v>61</v>
          </cell>
          <cell r="F29">
            <v>25</v>
          </cell>
          <cell r="G29">
            <v>41</v>
          </cell>
        </row>
        <row r="30">
          <cell r="D30" t="str">
            <v>Brenden Morrow</v>
          </cell>
          <cell r="E30">
            <v>18</v>
          </cell>
          <cell r="F30">
            <v>5</v>
          </cell>
          <cell r="G30">
            <v>10</v>
          </cell>
        </row>
        <row r="31">
          <cell r="D31" t="str">
            <v>Daniel Sedin</v>
          </cell>
          <cell r="E31">
            <v>64</v>
          </cell>
          <cell r="F31">
            <v>25</v>
          </cell>
          <cell r="G31">
            <v>37</v>
          </cell>
        </row>
        <row r="32">
          <cell r="D32" t="str">
            <v>Sidney Crosby</v>
          </cell>
          <cell r="E32">
            <v>62</v>
          </cell>
          <cell r="F32">
            <v>25</v>
          </cell>
          <cell r="G32">
            <v>57</v>
          </cell>
        </row>
        <row r="33">
          <cell r="D33" t="str">
            <v>Jason Arnott</v>
          </cell>
          <cell r="E33">
            <v>60</v>
          </cell>
          <cell r="F33">
            <v>27</v>
          </cell>
          <cell r="G33">
            <v>22</v>
          </cell>
        </row>
        <row r="34">
          <cell r="D34" t="str">
            <v>Daniel Briere</v>
          </cell>
          <cell r="E34">
            <v>12</v>
          </cell>
          <cell r="F34">
            <v>5</v>
          </cell>
          <cell r="G34">
            <v>4</v>
          </cell>
        </row>
        <row r="35">
          <cell r="D35" t="str">
            <v>Jean-Pierre Dumont</v>
          </cell>
          <cell r="E35">
            <v>66</v>
          </cell>
          <cell r="F35">
            <v>12</v>
          </cell>
          <cell r="G35">
            <v>39</v>
          </cell>
        </row>
        <row r="36">
          <cell r="D36" t="str">
            <v>Patrick Kane</v>
          </cell>
          <cell r="E36">
            <v>62</v>
          </cell>
          <cell r="F36">
            <v>21</v>
          </cell>
          <cell r="G36">
            <v>37</v>
          </cell>
        </row>
        <row r="37">
          <cell r="D37" t="str">
            <v>Paul Stastny</v>
          </cell>
          <cell r="E37">
            <v>40</v>
          </cell>
          <cell r="F37">
            <v>10</v>
          </cell>
          <cell r="G37">
            <v>24</v>
          </cell>
        </row>
        <row r="38">
          <cell r="D38" t="str">
            <v>Ales Hemsky</v>
          </cell>
          <cell r="E38">
            <v>55</v>
          </cell>
          <cell r="F38">
            <v>21</v>
          </cell>
          <cell r="G38">
            <v>33</v>
          </cell>
        </row>
        <row r="39">
          <cell r="D39" t="str">
            <v>Vaclav Prospal</v>
          </cell>
          <cell r="E39">
            <v>66</v>
          </cell>
          <cell r="F39">
            <v>17</v>
          </cell>
          <cell r="G39">
            <v>25</v>
          </cell>
        </row>
        <row r="40">
          <cell r="D40" t="str">
            <v>Jaromir Jagr</v>
          </cell>
        </row>
        <row r="41">
          <cell r="D41" t="str">
            <v>Olli Jokinen</v>
          </cell>
          <cell r="E41">
            <v>60</v>
          </cell>
          <cell r="F41">
            <v>23</v>
          </cell>
          <cell r="G41">
            <v>21</v>
          </cell>
        </row>
        <row r="42">
          <cell r="D42" t="str">
            <v>Nicklas Lidstrom</v>
          </cell>
          <cell r="E42">
            <v>63</v>
          </cell>
          <cell r="F42">
            <v>12</v>
          </cell>
          <cell r="G42">
            <v>33</v>
          </cell>
        </row>
        <row r="43">
          <cell r="D43" t="str">
            <v>Scott Gomez</v>
          </cell>
          <cell r="E43">
            <v>61</v>
          </cell>
          <cell r="F43">
            <v>15</v>
          </cell>
          <cell r="G43">
            <v>33</v>
          </cell>
        </row>
        <row r="44">
          <cell r="D44" t="str">
            <v>Rick Nash</v>
          </cell>
          <cell r="E44">
            <v>62</v>
          </cell>
          <cell r="F44">
            <v>31</v>
          </cell>
          <cell r="G44">
            <v>33</v>
          </cell>
        </row>
        <row r="45">
          <cell r="D45" t="str">
            <v>Tomas Plekanec</v>
          </cell>
          <cell r="E45">
            <v>64</v>
          </cell>
          <cell r="F45">
            <v>18</v>
          </cell>
          <cell r="G45">
            <v>18</v>
          </cell>
        </row>
        <row r="46">
          <cell r="D46" t="str">
            <v>Nicklas Backstrom</v>
          </cell>
          <cell r="E46">
            <v>67</v>
          </cell>
          <cell r="F46">
            <v>17</v>
          </cell>
          <cell r="G46">
            <v>53</v>
          </cell>
        </row>
        <row r="47">
          <cell r="D47" t="str">
            <v>Alex Frolov</v>
          </cell>
          <cell r="E47">
            <v>65</v>
          </cell>
          <cell r="F47">
            <v>27</v>
          </cell>
          <cell r="G47">
            <v>24</v>
          </cell>
        </row>
        <row r="48">
          <cell r="D48" t="str">
            <v>Marian Hossa</v>
          </cell>
          <cell r="E48">
            <v>62</v>
          </cell>
          <cell r="F48">
            <v>34</v>
          </cell>
          <cell r="G48">
            <v>27</v>
          </cell>
        </row>
        <row r="49">
          <cell r="D49" t="str">
            <v>Kristian Huselius</v>
          </cell>
          <cell r="E49">
            <v>62</v>
          </cell>
          <cell r="F49">
            <v>18</v>
          </cell>
          <cell r="G49">
            <v>28</v>
          </cell>
        </row>
        <row r="50">
          <cell r="D50" t="str">
            <v>Sergei Gonchar</v>
          </cell>
          <cell r="E50">
            <v>10</v>
          </cell>
          <cell r="F50">
            <v>3</v>
          </cell>
          <cell r="G50">
            <v>5</v>
          </cell>
        </row>
        <row r="51">
          <cell r="D51" t="str">
            <v>Cory Stillman</v>
          </cell>
          <cell r="E51">
            <v>47</v>
          </cell>
          <cell r="F51">
            <v>13</v>
          </cell>
          <cell r="G51">
            <v>24</v>
          </cell>
        </row>
        <row r="52">
          <cell r="D52" t="str">
            <v>Daymond Langkow</v>
          </cell>
          <cell r="E52">
            <v>57</v>
          </cell>
          <cell r="F52">
            <v>18</v>
          </cell>
          <cell r="G52">
            <v>24</v>
          </cell>
        </row>
        <row r="53">
          <cell r="D53" t="str">
            <v>Zach Parise</v>
          </cell>
          <cell r="E53">
            <v>65</v>
          </cell>
          <cell r="F53">
            <v>38</v>
          </cell>
          <cell r="G53">
            <v>40</v>
          </cell>
        </row>
        <row r="54">
          <cell r="D54" t="str">
            <v>Paul Kariya</v>
          </cell>
          <cell r="E54">
            <v>11</v>
          </cell>
          <cell r="F54">
            <v>2</v>
          </cell>
          <cell r="G54">
            <v>13</v>
          </cell>
        </row>
        <row r="55">
          <cell r="D55" t="str">
            <v>Brad Boyes</v>
          </cell>
          <cell r="E55">
            <v>65</v>
          </cell>
          <cell r="F55">
            <v>27</v>
          </cell>
          <cell r="G55">
            <v>28</v>
          </cell>
        </row>
        <row r="56">
          <cell r="D56" t="str">
            <v>Thomas Vanek</v>
          </cell>
          <cell r="E56">
            <v>57</v>
          </cell>
          <cell r="F56">
            <v>33</v>
          </cell>
          <cell r="G56">
            <v>20</v>
          </cell>
        </row>
        <row r="57">
          <cell r="D57" t="str">
            <v>Pierre-Marc Bouchard</v>
          </cell>
          <cell r="E57">
            <v>62</v>
          </cell>
          <cell r="F57">
            <v>15</v>
          </cell>
          <cell r="G57">
            <v>27</v>
          </cell>
        </row>
        <row r="58">
          <cell r="D58" t="str">
            <v>Petr Sykora</v>
          </cell>
          <cell r="E58">
            <v>63</v>
          </cell>
          <cell r="F58">
            <v>23</v>
          </cell>
          <cell r="G58">
            <v>21</v>
          </cell>
        </row>
        <row r="59">
          <cell r="D59" t="str">
            <v>Brad Richards</v>
          </cell>
          <cell r="E59">
            <v>55</v>
          </cell>
          <cell r="F59">
            <v>16</v>
          </cell>
          <cell r="G59">
            <v>32</v>
          </cell>
        </row>
        <row r="60">
          <cell r="D60" t="str">
            <v>Patrick Sharp</v>
          </cell>
          <cell r="E60">
            <v>54</v>
          </cell>
          <cell r="F60">
            <v>23</v>
          </cell>
          <cell r="G60">
            <v>15</v>
          </cell>
        </row>
        <row r="61">
          <cell r="D61" t="str">
            <v>Mark Streit</v>
          </cell>
          <cell r="E61">
            <v>61</v>
          </cell>
          <cell r="F61">
            <v>12</v>
          </cell>
          <cell r="G61">
            <v>34</v>
          </cell>
        </row>
        <row r="62">
          <cell r="D62" t="str">
            <v>Nathan Horton</v>
          </cell>
          <cell r="E62">
            <v>57</v>
          </cell>
          <cell r="F62">
            <v>19</v>
          </cell>
          <cell r="G62">
            <v>19</v>
          </cell>
        </row>
        <row r="63">
          <cell r="D63" t="str">
            <v>Brian Campbell</v>
          </cell>
          <cell r="E63">
            <v>64</v>
          </cell>
          <cell r="F63">
            <v>7</v>
          </cell>
          <cell r="G63">
            <v>37</v>
          </cell>
        </row>
        <row r="64">
          <cell r="D64" t="str">
            <v>Ray Whitney</v>
          </cell>
          <cell r="E64">
            <v>67</v>
          </cell>
          <cell r="F64">
            <v>21</v>
          </cell>
          <cell r="G64">
            <v>35</v>
          </cell>
        </row>
        <row r="65">
          <cell r="D65" t="str">
            <v>Nikolai Zherdev</v>
          </cell>
          <cell r="E65">
            <v>66</v>
          </cell>
          <cell r="F65">
            <v>19</v>
          </cell>
          <cell r="G65">
            <v>31</v>
          </cell>
        </row>
        <row r="66">
          <cell r="D66" t="str">
            <v>Dustin Brown</v>
          </cell>
          <cell r="E66">
            <v>63</v>
          </cell>
          <cell r="F66">
            <v>23</v>
          </cell>
          <cell r="G66">
            <v>27</v>
          </cell>
        </row>
        <row r="67">
          <cell r="D67" t="str">
            <v>Dion Phaneuf</v>
          </cell>
          <cell r="E67">
            <v>66</v>
          </cell>
          <cell r="F67">
            <v>9</v>
          </cell>
          <cell r="G67">
            <v>28</v>
          </cell>
        </row>
        <row r="68">
          <cell r="D68" t="str">
            <v>Brian Rolston</v>
          </cell>
          <cell r="E68">
            <v>47</v>
          </cell>
          <cell r="F68">
            <v>12</v>
          </cell>
          <cell r="G68">
            <v>11</v>
          </cell>
        </row>
        <row r="69">
          <cell r="D69" t="str">
            <v>Andrew Brunette</v>
          </cell>
          <cell r="E69">
            <v>63</v>
          </cell>
          <cell r="F69">
            <v>15</v>
          </cell>
          <cell r="G69">
            <v>21</v>
          </cell>
        </row>
        <row r="70">
          <cell r="D70" t="str">
            <v>Alex Tanguay</v>
          </cell>
          <cell r="E70">
            <v>36</v>
          </cell>
          <cell r="F70">
            <v>10</v>
          </cell>
          <cell r="G70">
            <v>17</v>
          </cell>
        </row>
        <row r="71">
          <cell r="D71" t="str">
            <v>Keith Tkachuk</v>
          </cell>
          <cell r="E71">
            <v>63</v>
          </cell>
          <cell r="F71">
            <v>19</v>
          </cell>
          <cell r="G71">
            <v>18</v>
          </cell>
        </row>
        <row r="72">
          <cell r="D72" t="str">
            <v>Alexander Radulov</v>
          </cell>
          <cell r="E72">
            <v>0</v>
          </cell>
        </row>
        <row r="73">
          <cell r="D73" t="str">
            <v>Andrei Markov</v>
          </cell>
          <cell r="E73">
            <v>66</v>
          </cell>
          <cell r="F73">
            <v>9</v>
          </cell>
          <cell r="G73">
            <v>41</v>
          </cell>
        </row>
        <row r="74">
          <cell r="D74" t="str">
            <v>Chris Drury</v>
          </cell>
          <cell r="E74">
            <v>66</v>
          </cell>
          <cell r="F74">
            <v>17</v>
          </cell>
          <cell r="G74">
            <v>27</v>
          </cell>
        </row>
        <row r="75">
          <cell r="D75" t="str">
            <v>Matin Erat</v>
          </cell>
          <cell r="E75">
            <v>61</v>
          </cell>
          <cell r="F75">
            <v>16</v>
          </cell>
          <cell r="G75">
            <v>25</v>
          </cell>
        </row>
        <row r="76">
          <cell r="B76">
            <v>38.778082191780825</v>
          </cell>
          <cell r="C76" t="str">
            <v>Dal</v>
          </cell>
          <cell r="D76" t="str">
            <v>Mike Modano</v>
          </cell>
          <cell r="E76">
            <v>65</v>
          </cell>
          <cell r="F76">
            <v>15</v>
          </cell>
          <cell r="G76">
            <v>26</v>
          </cell>
        </row>
        <row r="77">
          <cell r="D77" t="str">
            <v>Nik Antropov</v>
          </cell>
          <cell r="E77">
            <v>65</v>
          </cell>
          <cell r="F77">
            <v>22</v>
          </cell>
          <cell r="G77">
            <v>27</v>
          </cell>
        </row>
        <row r="78">
          <cell r="B78">
            <v>27.753424657534246</v>
          </cell>
          <cell r="C78" t="str">
            <v>T.B.</v>
          </cell>
          <cell r="D78" t="str">
            <v>Radim Vrbata</v>
          </cell>
          <cell r="E78">
            <v>18</v>
          </cell>
          <cell r="F78">
            <v>3</v>
          </cell>
          <cell r="G78">
            <v>3</v>
          </cell>
        </row>
        <row r="79">
          <cell r="D79" t="str">
            <v>Saku Koivu</v>
          </cell>
          <cell r="E79">
            <v>49</v>
          </cell>
          <cell r="F79">
            <v>11</v>
          </cell>
          <cell r="G79">
            <v>25</v>
          </cell>
        </row>
        <row r="80">
          <cell r="B80">
            <v>30.517808219178082</v>
          </cell>
          <cell r="C80" t="str">
            <v>Bos</v>
          </cell>
          <cell r="D80" t="str">
            <v>Marco Sturm</v>
          </cell>
          <cell r="E80">
            <v>19</v>
          </cell>
          <cell r="F80">
            <v>7</v>
          </cell>
          <cell r="G80">
            <v>6</v>
          </cell>
        </row>
        <row r="81">
          <cell r="D81" t="str">
            <v>Mike Green</v>
          </cell>
          <cell r="E81">
            <v>54</v>
          </cell>
          <cell r="F81">
            <v>23</v>
          </cell>
          <cell r="G81">
            <v>35</v>
          </cell>
        </row>
        <row r="82">
          <cell r="D82" t="str">
            <v>Brian Rafalski</v>
          </cell>
          <cell r="E82">
            <v>66</v>
          </cell>
          <cell r="F82">
            <v>8</v>
          </cell>
          <cell r="G82">
            <v>43</v>
          </cell>
        </row>
        <row r="83">
          <cell r="D83" t="str">
            <v>Patrik Elias</v>
          </cell>
          <cell r="E83">
            <v>65</v>
          </cell>
          <cell r="F83">
            <v>26</v>
          </cell>
          <cell r="G83">
            <v>43</v>
          </cell>
        </row>
        <row r="84">
          <cell r="D84" t="str">
            <v>Milan Michalek</v>
          </cell>
          <cell r="E84">
            <v>59</v>
          </cell>
          <cell r="F84">
            <v>17</v>
          </cell>
          <cell r="G84">
            <v>29</v>
          </cell>
        </row>
        <row r="85">
          <cell r="D85" t="str">
            <v>Markus Naslund</v>
          </cell>
          <cell r="E85">
            <v>66</v>
          </cell>
          <cell r="F85">
            <v>21</v>
          </cell>
          <cell r="G85">
            <v>19</v>
          </cell>
        </row>
        <row r="86">
          <cell r="D86" t="str">
            <v>Mike Knuble</v>
          </cell>
          <cell r="E86">
            <v>64</v>
          </cell>
          <cell r="F86">
            <v>23</v>
          </cell>
          <cell r="G86">
            <v>18</v>
          </cell>
        </row>
        <row r="87">
          <cell r="D87" t="str">
            <v>Jonathan Toews</v>
          </cell>
          <cell r="E87">
            <v>64</v>
          </cell>
          <cell r="F87">
            <v>28</v>
          </cell>
          <cell r="G87">
            <v>29</v>
          </cell>
        </row>
        <row r="88">
          <cell r="D88" t="str">
            <v>Pavol Demitra</v>
          </cell>
          <cell r="E88">
            <v>51</v>
          </cell>
          <cell r="F88">
            <v>17</v>
          </cell>
          <cell r="G88">
            <v>23</v>
          </cell>
        </row>
        <row r="89">
          <cell r="D89" t="str">
            <v>Corey Perry</v>
          </cell>
          <cell r="E89">
            <v>63</v>
          </cell>
          <cell r="F89">
            <v>23</v>
          </cell>
          <cell r="G89">
            <v>34</v>
          </cell>
        </row>
        <row r="90">
          <cell r="D90" t="str">
            <v>Robert Lang</v>
          </cell>
          <cell r="E90">
            <v>50</v>
          </cell>
          <cell r="F90">
            <v>18</v>
          </cell>
          <cell r="G90">
            <v>21</v>
          </cell>
        </row>
        <row r="91">
          <cell r="D91" t="str">
            <v>Milan Hejduk</v>
          </cell>
          <cell r="E91">
            <v>66</v>
          </cell>
          <cell r="F91">
            <v>25</v>
          </cell>
          <cell r="G91">
            <v>28</v>
          </cell>
        </row>
        <row r="92">
          <cell r="D92" t="str">
            <v>Peter Mueller</v>
          </cell>
          <cell r="E92">
            <v>57</v>
          </cell>
          <cell r="F92">
            <v>12</v>
          </cell>
          <cell r="G92">
            <v>21</v>
          </cell>
        </row>
        <row r="93">
          <cell r="D93" t="str">
            <v>Viktor Kozlov</v>
          </cell>
          <cell r="E93">
            <v>52</v>
          </cell>
          <cell r="F93">
            <v>11</v>
          </cell>
          <cell r="G93">
            <v>20</v>
          </cell>
        </row>
        <row r="94">
          <cell r="D94" t="str">
            <v>Andrei Kostitsyn</v>
          </cell>
          <cell r="E94">
            <v>62</v>
          </cell>
          <cell r="F94">
            <v>23</v>
          </cell>
          <cell r="G94">
            <v>16</v>
          </cell>
        </row>
        <row r="95">
          <cell r="D95" t="str">
            <v>Antoine Vermette</v>
          </cell>
          <cell r="E95">
            <v>63</v>
          </cell>
          <cell r="F95">
            <v>9</v>
          </cell>
          <cell r="G95">
            <v>20</v>
          </cell>
        </row>
        <row r="96">
          <cell r="D96" t="str">
            <v>Patrick O'Sullivan</v>
          </cell>
          <cell r="E96">
            <v>64</v>
          </cell>
          <cell r="F96">
            <v>14</v>
          </cell>
          <cell r="G96">
            <v>23</v>
          </cell>
        </row>
        <row r="97">
          <cell r="D97" t="str">
            <v>Brian Gionta</v>
          </cell>
          <cell r="E97">
            <v>64</v>
          </cell>
          <cell r="F97">
            <v>15</v>
          </cell>
          <cell r="G97">
            <v>35</v>
          </cell>
        </row>
        <row r="98">
          <cell r="D98" t="str">
            <v>Jeff Carter</v>
          </cell>
          <cell r="E98">
            <v>64</v>
          </cell>
          <cell r="F98">
            <v>36</v>
          </cell>
          <cell r="G98">
            <v>30</v>
          </cell>
        </row>
        <row r="99">
          <cell r="D99" t="str">
            <v>Tomas Kaberle</v>
          </cell>
          <cell r="E99">
            <v>51</v>
          </cell>
          <cell r="F99">
            <v>4</v>
          </cell>
          <cell r="G99">
            <v>27</v>
          </cell>
        </row>
        <row r="100">
          <cell r="B100">
            <v>25.783561643835615</v>
          </cell>
          <cell r="C100" t="str">
            <v>Mtl</v>
          </cell>
          <cell r="D100" t="str">
            <v>Chis Higgins</v>
          </cell>
          <cell r="E100">
            <v>41</v>
          </cell>
          <cell r="F100">
            <v>9</v>
          </cell>
          <cell r="G100">
            <v>8</v>
          </cell>
        </row>
        <row r="101">
          <cell r="D101" t="str">
            <v>Andy McDonald</v>
          </cell>
          <cell r="E101">
            <v>29</v>
          </cell>
          <cell r="F101">
            <v>10</v>
          </cell>
          <cell r="G101">
            <v>20</v>
          </cell>
        </row>
        <row r="102">
          <cell r="D102" t="str">
            <v>Jason Blake</v>
          </cell>
          <cell r="E102">
            <v>62</v>
          </cell>
          <cell r="F102">
            <v>22</v>
          </cell>
          <cell r="G102">
            <v>29</v>
          </cell>
        </row>
        <row r="103">
          <cell r="D103" t="str">
            <v>Rob Brind'Amour</v>
          </cell>
          <cell r="E103">
            <v>65</v>
          </cell>
          <cell r="F103">
            <v>9</v>
          </cell>
          <cell r="G103">
            <v>25</v>
          </cell>
        </row>
        <row r="104">
          <cell r="D104" t="str">
            <v>Erik Cole</v>
          </cell>
          <cell r="E104">
            <v>65</v>
          </cell>
          <cell r="F104">
            <v>17</v>
          </cell>
          <cell r="G104">
            <v>15</v>
          </cell>
        </row>
        <row r="105">
          <cell r="D105" t="str">
            <v>Zdeno Chara</v>
          </cell>
          <cell r="E105">
            <v>67</v>
          </cell>
          <cell r="F105">
            <v>16</v>
          </cell>
          <cell r="G105">
            <v>24</v>
          </cell>
        </row>
        <row r="106">
          <cell r="D106" t="str">
            <v>Ryan Malone</v>
          </cell>
          <cell r="E106">
            <v>56</v>
          </cell>
          <cell r="F106">
            <v>23</v>
          </cell>
          <cell r="G106">
            <v>15</v>
          </cell>
        </row>
        <row r="107">
          <cell r="D107" t="str">
            <v>Ed Jovanovski</v>
          </cell>
          <cell r="E107">
            <v>66</v>
          </cell>
          <cell r="F107">
            <v>6</v>
          </cell>
          <cell r="G107">
            <v>23</v>
          </cell>
        </row>
        <row r="108">
          <cell r="D108" t="str">
            <v>Shawn Horcoff</v>
          </cell>
          <cell r="E108">
            <v>63</v>
          </cell>
          <cell r="F108">
            <v>14</v>
          </cell>
          <cell r="G108">
            <v>30</v>
          </cell>
        </row>
        <row r="109">
          <cell r="D109" t="str">
            <v>R.J. Umberger</v>
          </cell>
          <cell r="E109">
            <v>66</v>
          </cell>
          <cell r="F109">
            <v>23</v>
          </cell>
          <cell r="G109">
            <v>15</v>
          </cell>
        </row>
        <row r="110">
          <cell r="D110" t="str">
            <v>Chris Kunitz</v>
          </cell>
          <cell r="E110">
            <v>67</v>
          </cell>
          <cell r="F110">
            <v>19</v>
          </cell>
          <cell r="G110">
            <v>22</v>
          </cell>
        </row>
        <row r="111">
          <cell r="D111" t="str">
            <v>Matt Cullen</v>
          </cell>
          <cell r="E111">
            <v>62</v>
          </cell>
          <cell r="F111">
            <v>20</v>
          </cell>
          <cell r="G111">
            <v>17</v>
          </cell>
        </row>
        <row r="112">
          <cell r="D112" t="str">
            <v>Jochen Hecht</v>
          </cell>
          <cell r="E112">
            <v>54</v>
          </cell>
          <cell r="F112">
            <v>8</v>
          </cell>
          <cell r="G112">
            <v>12</v>
          </cell>
        </row>
        <row r="113">
          <cell r="D113" t="str">
            <v>Mike Comrie</v>
          </cell>
          <cell r="E113">
            <v>48</v>
          </cell>
          <cell r="F113">
            <v>9</v>
          </cell>
          <cell r="G113">
            <v>16</v>
          </cell>
        </row>
        <row r="114">
          <cell r="D114" t="str">
            <v>Sam Gagner</v>
          </cell>
          <cell r="E114">
            <v>59</v>
          </cell>
          <cell r="F114">
            <v>9</v>
          </cell>
          <cell r="G114">
            <v>16</v>
          </cell>
        </row>
        <row r="115">
          <cell r="D115" t="str">
            <v>Mark Recchi</v>
          </cell>
          <cell r="E115">
            <v>65</v>
          </cell>
          <cell r="F115">
            <v>15</v>
          </cell>
          <cell r="G115">
            <v>32</v>
          </cell>
        </row>
        <row r="116">
          <cell r="D116" t="str">
            <v>Joseph Corvo</v>
          </cell>
          <cell r="E116">
            <v>67</v>
          </cell>
          <cell r="F116">
            <v>12</v>
          </cell>
          <cell r="G116">
            <v>17</v>
          </cell>
        </row>
        <row r="117">
          <cell r="D117" t="str">
            <v>Wojtek Wolski</v>
          </cell>
          <cell r="E117">
            <v>65</v>
          </cell>
          <cell r="F117">
            <v>14</v>
          </cell>
          <cell r="G117">
            <v>23</v>
          </cell>
        </row>
        <row r="118">
          <cell r="D118" t="str">
            <v>Patrick Marleau</v>
          </cell>
          <cell r="E118">
            <v>64</v>
          </cell>
          <cell r="F118">
            <v>34</v>
          </cell>
          <cell r="G118">
            <v>31</v>
          </cell>
        </row>
        <row r="119">
          <cell r="D119" t="str">
            <v>Mike Cammelleri</v>
          </cell>
          <cell r="E119">
            <v>65</v>
          </cell>
          <cell r="F119">
            <v>34</v>
          </cell>
          <cell r="G119">
            <v>33</v>
          </cell>
        </row>
        <row r="120">
          <cell r="D120" t="str">
            <v>Mike Fisher</v>
          </cell>
          <cell r="E120">
            <v>60</v>
          </cell>
          <cell r="F120">
            <v>10</v>
          </cell>
          <cell r="G120">
            <v>16</v>
          </cell>
        </row>
        <row r="121">
          <cell r="D121" t="str">
            <v>Justin Penner</v>
          </cell>
          <cell r="E121">
            <v>63</v>
          </cell>
          <cell r="F121">
            <v>14</v>
          </cell>
          <cell r="G121">
            <v>15</v>
          </cell>
        </row>
        <row r="122">
          <cell r="D122" t="str">
            <v>Joffrey Lupul</v>
          </cell>
          <cell r="E122">
            <v>61</v>
          </cell>
          <cell r="F122">
            <v>20</v>
          </cell>
          <cell r="G122">
            <v>20</v>
          </cell>
        </row>
        <row r="123">
          <cell r="B123">
            <v>40.14794520547945</v>
          </cell>
          <cell r="C123" t="str">
            <v>N.J.</v>
          </cell>
          <cell r="D123" t="str">
            <v>Brendan Shanahan</v>
          </cell>
          <cell r="E123">
            <v>18</v>
          </cell>
          <cell r="F123">
            <v>4</v>
          </cell>
          <cell r="G123">
            <v>4</v>
          </cell>
        </row>
        <row r="124">
          <cell r="D124" t="str">
            <v>Steven Reinprecht</v>
          </cell>
          <cell r="E124">
            <v>61</v>
          </cell>
          <cell r="F124">
            <v>11</v>
          </cell>
          <cell r="G124">
            <v>21</v>
          </cell>
        </row>
        <row r="125">
          <cell r="D125" t="str">
            <v>Eric Perrin</v>
          </cell>
          <cell r="E125">
            <v>11</v>
          </cell>
          <cell r="F125">
            <v>0</v>
          </cell>
          <cell r="G125">
            <v>2</v>
          </cell>
        </row>
        <row r="126">
          <cell r="D126" t="str">
            <v>Andrew Cogliano</v>
          </cell>
          <cell r="E126">
            <v>65</v>
          </cell>
          <cell r="F126">
            <v>15</v>
          </cell>
          <cell r="G126">
            <v>18</v>
          </cell>
        </row>
        <row r="127">
          <cell r="D127" t="str">
            <v>David Legwand</v>
          </cell>
          <cell r="E127">
            <v>66</v>
          </cell>
          <cell r="F127">
            <v>19</v>
          </cell>
          <cell r="G127">
            <v>19</v>
          </cell>
        </row>
        <row r="128">
          <cell r="D128" t="str">
            <v>Kimmo Timonen</v>
          </cell>
          <cell r="E128">
            <v>59</v>
          </cell>
          <cell r="F128">
            <v>3</v>
          </cell>
          <cell r="G128">
            <v>28</v>
          </cell>
        </row>
        <row r="129">
          <cell r="D129" t="str">
            <v>Bill Guerin</v>
          </cell>
          <cell r="E129">
            <v>63</v>
          </cell>
          <cell r="F129">
            <v>17</v>
          </cell>
          <cell r="G129">
            <v>23</v>
          </cell>
        </row>
        <row r="130">
          <cell r="D130" t="str">
            <v>Ales Kotalik</v>
          </cell>
          <cell r="E130">
            <v>58</v>
          </cell>
          <cell r="F130">
            <v>13</v>
          </cell>
          <cell r="G130">
            <v>19</v>
          </cell>
        </row>
        <row r="131">
          <cell r="D131" t="str">
            <v>Marek Zidlcky</v>
          </cell>
          <cell r="E131">
            <v>60</v>
          </cell>
          <cell r="F131">
            <v>11</v>
          </cell>
          <cell r="G131">
            <v>20</v>
          </cell>
        </row>
        <row r="132">
          <cell r="B132">
            <v>26.90684931506849</v>
          </cell>
          <cell r="C132" t="str">
            <v>Phi</v>
          </cell>
          <cell r="D132" t="str">
            <v>Scott Hartnell</v>
          </cell>
          <cell r="E132">
            <v>64</v>
          </cell>
          <cell r="F132">
            <v>22</v>
          </cell>
          <cell r="G132">
            <v>24</v>
          </cell>
        </row>
        <row r="133">
          <cell r="D133" t="str">
            <v>Chris Pronger</v>
          </cell>
          <cell r="E133">
            <v>67</v>
          </cell>
          <cell r="F133">
            <v>10</v>
          </cell>
          <cell r="G133">
            <v>29</v>
          </cell>
        </row>
        <row r="134">
          <cell r="D134" t="str">
            <v>Brent Burns</v>
          </cell>
          <cell r="E134">
            <v>60</v>
          </cell>
          <cell r="F134">
            <v>8</v>
          </cell>
          <cell r="G134">
            <v>19</v>
          </cell>
        </row>
        <row r="135">
          <cell r="D135" t="str">
            <v>Mikko Koivu</v>
          </cell>
          <cell r="E135">
            <v>65</v>
          </cell>
          <cell r="F135">
            <v>17</v>
          </cell>
          <cell r="G135">
            <v>41</v>
          </cell>
        </row>
        <row r="136">
          <cell r="D136" t="str">
            <v>Daniel Cleary</v>
          </cell>
          <cell r="E136">
            <v>58</v>
          </cell>
          <cell r="F136">
            <v>12</v>
          </cell>
          <cell r="G136">
            <v>23</v>
          </cell>
        </row>
        <row r="137">
          <cell r="D137" t="str">
            <v>Alexander Semin</v>
          </cell>
          <cell r="E137">
            <v>48</v>
          </cell>
          <cell r="F137">
            <v>28</v>
          </cell>
          <cell r="G137">
            <v>35</v>
          </cell>
        </row>
        <row r="138">
          <cell r="D138" t="str">
            <v>Jussi Jokinen</v>
          </cell>
          <cell r="E138">
            <v>57</v>
          </cell>
          <cell r="F138">
            <v>7</v>
          </cell>
          <cell r="G138">
            <v>14</v>
          </cell>
        </row>
        <row r="139">
          <cell r="D139" t="str">
            <v>Stephen Weiss</v>
          </cell>
          <cell r="E139">
            <v>62</v>
          </cell>
          <cell r="F139">
            <v>11</v>
          </cell>
          <cell r="G139">
            <v>37</v>
          </cell>
        </row>
        <row r="140">
          <cell r="B140">
            <v>25.035616438356165</v>
          </cell>
          <cell r="C140" t="str">
            <v>Stl</v>
          </cell>
          <cell r="D140" t="str">
            <v>Alexander Steen</v>
          </cell>
          <cell r="E140">
            <v>6</v>
          </cell>
          <cell r="G140">
            <v>1</v>
          </cell>
        </row>
        <row r="141">
          <cell r="D141" t="str">
            <v>Jiri Hulder</v>
          </cell>
          <cell r="E141">
            <v>66</v>
          </cell>
          <cell r="F141">
            <v>20</v>
          </cell>
          <cell r="G141">
            <v>30</v>
          </cell>
        </row>
        <row r="142">
          <cell r="D142" t="str">
            <v>Jeff Halpern</v>
          </cell>
        </row>
        <row r="143">
          <cell r="D143" t="str">
            <v>Jamie Langenbrunner</v>
          </cell>
          <cell r="E143">
            <v>64</v>
          </cell>
          <cell r="F143">
            <v>21</v>
          </cell>
          <cell r="G143">
            <v>35</v>
          </cell>
        </row>
        <row r="144">
          <cell r="D144" t="str">
            <v>Martin Straka</v>
          </cell>
        </row>
        <row r="145">
          <cell r="D145" t="str">
            <v>Sergei Fedorov</v>
          </cell>
          <cell r="E145">
            <v>40</v>
          </cell>
          <cell r="F145">
            <v>7</v>
          </cell>
          <cell r="G145">
            <v>20</v>
          </cell>
        </row>
        <row r="146">
          <cell r="B146">
            <v>24.172602739726027</v>
          </cell>
          <cell r="C146" t="str">
            <v>Edm</v>
          </cell>
          <cell r="D146" t="str">
            <v>Robert Nilsson</v>
          </cell>
          <cell r="E146">
            <v>51</v>
          </cell>
          <cell r="F146">
            <v>7</v>
          </cell>
          <cell r="G146">
            <v>14</v>
          </cell>
        </row>
        <row r="147">
          <cell r="D147" t="str">
            <v>Mirolav Satan</v>
          </cell>
          <cell r="E147">
            <v>65</v>
          </cell>
          <cell r="F147">
            <v>17</v>
          </cell>
          <cell r="G147">
            <v>19</v>
          </cell>
        </row>
        <row r="148">
          <cell r="D148" t="str">
            <v>Vyacheslav Kozlov</v>
          </cell>
          <cell r="E148">
            <v>66</v>
          </cell>
          <cell r="F148">
            <v>18</v>
          </cell>
          <cell r="G148">
            <v>37</v>
          </cell>
        </row>
        <row r="149">
          <cell r="D149" t="str">
            <v>Lubomir Visnovsky</v>
          </cell>
          <cell r="E149">
            <v>50</v>
          </cell>
          <cell r="F149">
            <v>8</v>
          </cell>
          <cell r="G149">
            <v>23</v>
          </cell>
        </row>
        <row r="150">
          <cell r="D150" t="str">
            <v>Trent Hunter</v>
          </cell>
          <cell r="E150">
            <v>55</v>
          </cell>
          <cell r="F150">
            <v>14</v>
          </cell>
          <cell r="G150">
            <v>17</v>
          </cell>
        </row>
        <row r="151">
          <cell r="D151" t="str">
            <v>Niklas Hagman</v>
          </cell>
          <cell r="E151">
            <v>58</v>
          </cell>
          <cell r="F151">
            <v>19</v>
          </cell>
          <cell r="G151">
            <v>18</v>
          </cell>
        </row>
        <row r="152">
          <cell r="D152" t="str">
            <v>Joe Sakic</v>
          </cell>
          <cell r="E152">
            <v>15</v>
          </cell>
          <cell r="F152">
            <v>2</v>
          </cell>
          <cell r="G152">
            <v>10</v>
          </cell>
        </row>
        <row r="153">
          <cell r="D153" t="str">
            <v>Tim Connolly</v>
          </cell>
          <cell r="E153">
            <v>32</v>
          </cell>
          <cell r="F153">
            <v>13</v>
          </cell>
          <cell r="G153">
            <v>18</v>
          </cell>
        </row>
        <row r="154">
          <cell r="D154" t="str">
            <v>Thomas Holmstrom</v>
          </cell>
          <cell r="E154">
            <v>40</v>
          </cell>
          <cell r="F154">
            <v>14</v>
          </cell>
          <cell r="G154">
            <v>16</v>
          </cell>
        </row>
        <row r="155">
          <cell r="D155" t="str">
            <v>Todd Bertuzzi</v>
          </cell>
          <cell r="E155">
            <v>57</v>
          </cell>
          <cell r="F155">
            <v>15</v>
          </cell>
          <cell r="G155">
            <v>28</v>
          </cell>
        </row>
        <row r="156">
          <cell r="D156" t="str">
            <v>Pavel Kubina</v>
          </cell>
          <cell r="E156">
            <v>66</v>
          </cell>
          <cell r="F156">
            <v>13</v>
          </cell>
          <cell r="G156">
            <v>25</v>
          </cell>
        </row>
        <row r="157">
          <cell r="D157" t="str">
            <v>Ryan Whitney</v>
          </cell>
          <cell r="E157">
            <v>33</v>
          </cell>
          <cell r="F157">
            <v>2</v>
          </cell>
          <cell r="G157">
            <v>12</v>
          </cell>
        </row>
        <row r="158">
          <cell r="D158" t="str">
            <v>Brandon Dubinsky</v>
          </cell>
          <cell r="E158">
            <v>66</v>
          </cell>
          <cell r="F158">
            <v>8</v>
          </cell>
          <cell r="G158">
            <v>24</v>
          </cell>
        </row>
        <row r="159">
          <cell r="D159" t="str">
            <v>Joe Pavelski</v>
          </cell>
          <cell r="E159">
            <v>62</v>
          </cell>
          <cell r="F159">
            <v>20</v>
          </cell>
          <cell r="G159">
            <v>27</v>
          </cell>
        </row>
        <row r="160">
          <cell r="D160" t="str">
            <v>Mathieu Schneider</v>
          </cell>
          <cell r="E160">
            <v>53</v>
          </cell>
          <cell r="F160">
            <v>7</v>
          </cell>
          <cell r="G160">
            <v>14</v>
          </cell>
        </row>
        <row r="161">
          <cell r="D161" t="str">
            <v>Chuck Kobasew</v>
          </cell>
          <cell r="E161">
            <v>53</v>
          </cell>
          <cell r="F161">
            <v>16</v>
          </cell>
          <cell r="G161">
            <v>17</v>
          </cell>
        </row>
        <row r="162">
          <cell r="D162" t="str">
            <v>Drew Stafford</v>
          </cell>
          <cell r="E162">
            <v>63</v>
          </cell>
          <cell r="F162">
            <v>19</v>
          </cell>
          <cell r="G162">
            <v>22</v>
          </cell>
        </row>
        <row r="163">
          <cell r="D163" t="str">
            <v>Johan Franzen</v>
          </cell>
          <cell r="E163">
            <v>55</v>
          </cell>
          <cell r="F163">
            <v>26</v>
          </cell>
          <cell r="G163">
            <v>15</v>
          </cell>
        </row>
        <row r="164">
          <cell r="D164" t="str">
            <v>Michal Rozsival</v>
          </cell>
          <cell r="E164">
            <v>65</v>
          </cell>
          <cell r="F164">
            <v>8</v>
          </cell>
          <cell r="G164">
            <v>21</v>
          </cell>
        </row>
        <row r="165">
          <cell r="D165" t="str">
            <v>Wade Redden</v>
          </cell>
          <cell r="E165">
            <v>65</v>
          </cell>
          <cell r="F165">
            <v>3</v>
          </cell>
          <cell r="G165">
            <v>19</v>
          </cell>
        </row>
        <row r="166">
          <cell r="B166">
            <v>26.106849315068494</v>
          </cell>
          <cell r="C166" t="str">
            <v>Tor</v>
          </cell>
          <cell r="D166" t="str">
            <v>Lee Stempniak</v>
          </cell>
          <cell r="E166">
            <v>60</v>
          </cell>
          <cell r="F166">
            <v>11</v>
          </cell>
          <cell r="G166">
            <v>24</v>
          </cell>
        </row>
        <row r="167">
          <cell r="D167" t="str">
            <v>Tobias Enstrom</v>
          </cell>
          <cell r="E167">
            <v>66</v>
          </cell>
          <cell r="F167">
            <v>3</v>
          </cell>
          <cell r="G167">
            <v>14</v>
          </cell>
        </row>
        <row r="168">
          <cell r="B168">
            <v>30.747945205479454</v>
          </cell>
          <cell r="C168" t="str">
            <v>N.J.</v>
          </cell>
          <cell r="D168" t="str">
            <v>Dainius Zubrus</v>
          </cell>
          <cell r="E168">
            <v>6</v>
          </cell>
          <cell r="F168">
            <v>0</v>
          </cell>
          <cell r="G168">
            <v>1</v>
          </cell>
        </row>
        <row r="169">
          <cell r="D169" t="str">
            <v>Michael Nylander</v>
          </cell>
          <cell r="E169">
            <v>58</v>
          </cell>
          <cell r="F169">
            <v>7</v>
          </cell>
          <cell r="G169">
            <v>20</v>
          </cell>
        </row>
        <row r="170">
          <cell r="D170" t="str">
            <v>Jere Lehtinen</v>
          </cell>
          <cell r="E170">
            <v>35</v>
          </cell>
          <cell r="F170">
            <v>8</v>
          </cell>
          <cell r="G170">
            <v>15</v>
          </cell>
        </row>
        <row r="171">
          <cell r="D171" t="str">
            <v>Ryan Smyth</v>
          </cell>
          <cell r="E171">
            <v>66</v>
          </cell>
          <cell r="F171">
            <v>24</v>
          </cell>
          <cell r="G171">
            <v>32</v>
          </cell>
        </row>
        <row r="172">
          <cell r="D172" t="str">
            <v>Marek Svatos</v>
          </cell>
          <cell r="E172">
            <v>58</v>
          </cell>
          <cell r="F172">
            <v>14</v>
          </cell>
          <cell r="G172">
            <v>17</v>
          </cell>
        </row>
        <row r="173">
          <cell r="B173">
            <v>30.586301369863012</v>
          </cell>
          <cell r="C173" t="str">
            <v>Fla</v>
          </cell>
          <cell r="D173" t="str">
            <v>Brett McLean</v>
          </cell>
          <cell r="E173">
            <v>12</v>
          </cell>
          <cell r="G173">
            <v>3</v>
          </cell>
        </row>
        <row r="174">
          <cell r="D174" t="str">
            <v>Jonathan Cheechoo</v>
          </cell>
          <cell r="E174">
            <v>52</v>
          </cell>
          <cell r="F174">
            <v>9</v>
          </cell>
          <cell r="G174">
            <v>13</v>
          </cell>
        </row>
        <row r="175">
          <cell r="D175" t="str">
            <v>Todd White</v>
          </cell>
          <cell r="E175">
            <v>66</v>
          </cell>
          <cell r="F175">
            <v>17</v>
          </cell>
          <cell r="G175">
            <v>41</v>
          </cell>
        </row>
        <row r="176">
          <cell r="D176" t="str">
            <v>Eric Belanger</v>
          </cell>
        </row>
        <row r="177">
          <cell r="D177" t="str">
            <v>Taylor Pyatt</v>
          </cell>
        </row>
        <row r="178">
          <cell r="D178" t="str">
            <v>Ryan Kesler</v>
          </cell>
          <cell r="E178">
            <v>64</v>
          </cell>
          <cell r="F178">
            <v>19</v>
          </cell>
          <cell r="G178">
            <v>24</v>
          </cell>
        </row>
        <row r="179">
          <cell r="D179" t="str">
            <v>Phil Kessel</v>
          </cell>
          <cell r="E179">
            <v>61</v>
          </cell>
          <cell r="F179">
            <v>27</v>
          </cell>
          <cell r="G179">
            <v>21</v>
          </cell>
        </row>
        <row r="180">
          <cell r="D180" t="str">
            <v>Jay Bouwmeester</v>
          </cell>
          <cell r="E180">
            <v>66</v>
          </cell>
          <cell r="F180">
            <v>13</v>
          </cell>
          <cell r="G180">
            <v>22</v>
          </cell>
        </row>
        <row r="181">
          <cell r="D181" t="str">
            <v>Brooks Laich</v>
          </cell>
          <cell r="E181">
            <v>57</v>
          </cell>
          <cell r="F181">
            <v>16</v>
          </cell>
          <cell r="G181">
            <v>22</v>
          </cell>
        </row>
        <row r="182">
          <cell r="D182" t="str">
            <v>Jason Williams</v>
          </cell>
          <cell r="E182">
            <v>64</v>
          </cell>
          <cell r="F182">
            <v>14</v>
          </cell>
          <cell r="G182">
            <v>20</v>
          </cell>
        </row>
        <row r="183">
          <cell r="D183" t="str">
            <v>Sergei Samsonov</v>
          </cell>
          <cell r="E183">
            <v>66</v>
          </cell>
          <cell r="F183">
            <v>14</v>
          </cell>
          <cell r="G183">
            <v>26</v>
          </cell>
        </row>
        <row r="184">
          <cell r="D184" t="str">
            <v>Michel Ouellet</v>
          </cell>
        </row>
        <row r="185">
          <cell r="D185" t="str">
            <v>Dustin Byfuglien</v>
          </cell>
          <cell r="E185">
            <v>59</v>
          </cell>
          <cell r="F185">
            <v>11</v>
          </cell>
          <cell r="G185">
            <v>12</v>
          </cell>
        </row>
        <row r="186">
          <cell r="D186" t="str">
            <v>Valtteri Filppula</v>
          </cell>
          <cell r="E186">
            <v>66</v>
          </cell>
          <cell r="F186">
            <v>8</v>
          </cell>
          <cell r="G186">
            <v>25</v>
          </cell>
        </row>
        <row r="187">
          <cell r="D187" t="str">
            <v>Braydon Coburn</v>
          </cell>
          <cell r="E187">
            <v>62</v>
          </cell>
          <cell r="F187">
            <v>7</v>
          </cell>
          <cell r="G187">
            <v>16</v>
          </cell>
        </row>
        <row r="188">
          <cell r="B188">
            <v>26.723287671232878</v>
          </cell>
          <cell r="C188" t="str">
            <v>L.A.</v>
          </cell>
          <cell r="D188" t="str">
            <v>Jarret Stoll</v>
          </cell>
          <cell r="E188">
            <v>65</v>
          </cell>
          <cell r="F188">
            <v>16</v>
          </cell>
          <cell r="G188">
            <v>22</v>
          </cell>
        </row>
        <row r="189">
          <cell r="D189" t="str">
            <v>Dennis Wideman</v>
          </cell>
          <cell r="E189">
            <v>66</v>
          </cell>
          <cell r="F189">
            <v>12</v>
          </cell>
          <cell r="G189">
            <v>32</v>
          </cell>
        </row>
        <row r="190">
          <cell r="D190" t="str">
            <v>Paul Gaustad</v>
          </cell>
        </row>
        <row r="191">
          <cell r="D191" t="str">
            <v>Matthew Lombardi</v>
          </cell>
          <cell r="E191">
            <v>53</v>
          </cell>
          <cell r="F191">
            <v>10</v>
          </cell>
          <cell r="G191">
            <v>23</v>
          </cell>
        </row>
        <row r="192">
          <cell r="D192" t="str">
            <v>Andrej Meszaros</v>
          </cell>
          <cell r="E192">
            <v>52</v>
          </cell>
          <cell r="F192">
            <v>2</v>
          </cell>
          <cell r="G192">
            <v>14</v>
          </cell>
        </row>
        <row r="193">
          <cell r="B193">
            <v>38.654794520547945</v>
          </cell>
          <cell r="C193" t="str">
            <v>Dal</v>
          </cell>
          <cell r="D193" t="str">
            <v>Sergei Zubov</v>
          </cell>
          <cell r="E193">
            <v>10</v>
          </cell>
          <cell r="G193">
            <v>4</v>
          </cell>
        </row>
        <row r="194">
          <cell r="D194" t="str">
            <v>Niklas Kronvall</v>
          </cell>
          <cell r="E194">
            <v>64</v>
          </cell>
          <cell r="F194">
            <v>3</v>
          </cell>
          <cell r="G194">
            <v>36</v>
          </cell>
        </row>
        <row r="195">
          <cell r="D195" t="str">
            <v>Alexei Ponikarovsky</v>
          </cell>
          <cell r="E195">
            <v>66</v>
          </cell>
          <cell r="F195">
            <v>18</v>
          </cell>
          <cell r="G195">
            <v>23</v>
          </cell>
        </row>
        <row r="196">
          <cell r="D196" t="str">
            <v>Colby Armstrong</v>
          </cell>
          <cell r="E196">
            <v>66</v>
          </cell>
          <cell r="F196">
            <v>16</v>
          </cell>
          <cell r="G196">
            <v>10</v>
          </cell>
        </row>
        <row r="197">
          <cell r="D197" t="str">
            <v>Martin Hanzal</v>
          </cell>
          <cell r="E197">
            <v>60</v>
          </cell>
          <cell r="F197">
            <v>9</v>
          </cell>
          <cell r="G197">
            <v>17</v>
          </cell>
        </row>
        <row r="198">
          <cell r="D198" t="str">
            <v>Craig Rivet</v>
          </cell>
          <cell r="E198">
            <v>48</v>
          </cell>
          <cell r="F198">
            <v>1</v>
          </cell>
          <cell r="G198">
            <v>18</v>
          </cell>
        </row>
        <row r="199">
          <cell r="D199" t="str">
            <v>Adrian Aucoin</v>
          </cell>
          <cell r="E199">
            <v>66</v>
          </cell>
          <cell r="F199">
            <v>10</v>
          </cell>
          <cell r="G199">
            <v>18</v>
          </cell>
        </row>
        <row r="200">
          <cell r="B200">
            <v>24.912328767123288</v>
          </cell>
          <cell r="C200" t="str">
            <v>Buf</v>
          </cell>
          <cell r="D200" t="str">
            <v>Dan Paille</v>
          </cell>
          <cell r="E200">
            <v>33</v>
          </cell>
          <cell r="F200">
            <v>4</v>
          </cell>
          <cell r="G200">
            <v>8</v>
          </cell>
        </row>
        <row r="201">
          <cell r="D201" t="str">
            <v>Derek Armstrong</v>
          </cell>
        </row>
        <row r="202">
          <cell r="D202" t="str">
            <v>Jan Hlavac</v>
          </cell>
        </row>
        <row r="203">
          <cell r="D203" t="str">
            <v>Josef Vasicek</v>
          </cell>
        </row>
        <row r="204">
          <cell r="D204" t="str">
            <v>Michael Peca</v>
          </cell>
        </row>
        <row r="205">
          <cell r="D205" t="str">
            <v>Antti Miettinen</v>
          </cell>
          <cell r="E205">
            <v>65</v>
          </cell>
          <cell r="F205">
            <v>14</v>
          </cell>
          <cell r="G205">
            <v>27</v>
          </cell>
        </row>
        <row r="206">
          <cell r="B206">
            <v>34.00547945205479</v>
          </cell>
          <cell r="C206" t="str">
            <v>Col</v>
          </cell>
          <cell r="D206" t="str">
            <v>Darcy Tucker</v>
          </cell>
          <cell r="E206">
            <v>20</v>
          </cell>
          <cell r="F206">
            <v>4</v>
          </cell>
          <cell r="G206">
            <v>3</v>
          </cell>
        </row>
        <row r="207">
          <cell r="D207" t="str">
            <v>Craig Conroy</v>
          </cell>
        </row>
        <row r="208">
          <cell r="D208" t="str">
            <v>Travis Zajac</v>
          </cell>
          <cell r="E208">
            <v>65</v>
          </cell>
          <cell r="F208">
            <v>18</v>
          </cell>
          <cell r="G208">
            <v>36</v>
          </cell>
        </row>
        <row r="209">
          <cell r="D209" t="str">
            <v>Bobby Holik</v>
          </cell>
        </row>
        <row r="210">
          <cell r="B210">
            <v>28.92876712328767</v>
          </cell>
          <cell r="C210" t="str">
            <v>NHL</v>
          </cell>
          <cell r="D210" t="str">
            <v>Sean Avery</v>
          </cell>
          <cell r="E210">
            <v>23</v>
          </cell>
          <cell r="F210">
            <v>3</v>
          </cell>
          <cell r="G210">
            <v>7</v>
          </cell>
        </row>
        <row r="211">
          <cell r="D211" t="str">
            <v>Ruslan Fedotenko</v>
          </cell>
          <cell r="E211">
            <v>50</v>
          </cell>
          <cell r="F211">
            <v>13</v>
          </cell>
          <cell r="G211">
            <v>16</v>
          </cell>
        </row>
        <row r="212">
          <cell r="B212">
            <v>39.16438356164384</v>
          </cell>
          <cell r="C212" t="str">
            <v>S.J.</v>
          </cell>
          <cell r="D212" t="str">
            <v>Jeremy Roenick</v>
          </cell>
          <cell r="E212">
            <v>33</v>
          </cell>
          <cell r="F212">
            <v>3</v>
          </cell>
          <cell r="G212">
            <v>7</v>
          </cell>
        </row>
        <row r="213">
          <cell r="D213" t="str">
            <v>Erik Johnson</v>
          </cell>
          <cell r="E213">
            <v>0</v>
          </cell>
        </row>
        <row r="214">
          <cell r="D214" t="str">
            <v>Tom Gilbert</v>
          </cell>
          <cell r="E214">
            <v>65</v>
          </cell>
          <cell r="F214">
            <v>4</v>
          </cell>
          <cell r="G214">
            <v>34</v>
          </cell>
        </row>
        <row r="215">
          <cell r="D215" t="str">
            <v>Glen Metropolit</v>
          </cell>
        </row>
        <row r="216">
          <cell r="B216">
            <v>25.235616438356164</v>
          </cell>
          <cell r="C216" t="str">
            <v>Tor</v>
          </cell>
          <cell r="D216" t="str">
            <v>Matt Stajan</v>
          </cell>
          <cell r="E216">
            <v>60</v>
          </cell>
          <cell r="F216">
            <v>14</v>
          </cell>
          <cell r="G216">
            <v>32</v>
          </cell>
        </row>
        <row r="217">
          <cell r="D217" t="str">
            <v>Scott Walker</v>
          </cell>
          <cell r="E217">
            <v>0</v>
          </cell>
        </row>
        <row r="218">
          <cell r="D218" t="str">
            <v>Jaroslav Spacek</v>
          </cell>
          <cell r="E218">
            <v>64</v>
          </cell>
          <cell r="F218">
            <v>7</v>
          </cell>
          <cell r="G218">
            <v>26</v>
          </cell>
        </row>
        <row r="219">
          <cell r="D219" t="str">
            <v>Paul Martin</v>
          </cell>
          <cell r="E219">
            <v>56</v>
          </cell>
          <cell r="F219">
            <v>4</v>
          </cell>
          <cell r="G219">
            <v>20</v>
          </cell>
        </row>
        <row r="220">
          <cell r="D220" t="str">
            <v>Steve Bernier</v>
          </cell>
          <cell r="E220">
            <v>63</v>
          </cell>
          <cell r="F220">
            <v>14</v>
          </cell>
          <cell r="G220">
            <v>15</v>
          </cell>
        </row>
        <row r="221">
          <cell r="D221" t="str">
            <v>Tuomo Ruutu</v>
          </cell>
          <cell r="E221">
            <v>64</v>
          </cell>
          <cell r="F221">
            <v>19</v>
          </cell>
          <cell r="G221">
            <v>25</v>
          </cell>
        </row>
        <row r="222">
          <cell r="D222" t="str">
            <v>Owen Nolan</v>
          </cell>
          <cell r="E222">
            <v>42</v>
          </cell>
          <cell r="F222">
            <v>18</v>
          </cell>
          <cell r="G222">
            <v>14</v>
          </cell>
        </row>
        <row r="223">
          <cell r="D223" t="str">
            <v>Ron Hainsey</v>
          </cell>
          <cell r="E223">
            <v>66</v>
          </cell>
          <cell r="F223">
            <v>5</v>
          </cell>
          <cell r="G223">
            <v>28</v>
          </cell>
        </row>
        <row r="224">
          <cell r="D224" t="str">
            <v>Vernon Fiddler</v>
          </cell>
        </row>
        <row r="225">
          <cell r="D225" t="str">
            <v>John-Michael Liles</v>
          </cell>
          <cell r="E225">
            <v>59</v>
          </cell>
          <cell r="F225">
            <v>8</v>
          </cell>
          <cell r="G225">
            <v>22</v>
          </cell>
        </row>
        <row r="226">
          <cell r="B226">
            <v>25.663013698630138</v>
          </cell>
          <cell r="C226" t="str">
            <v>Chi</v>
          </cell>
          <cell r="D226" t="str">
            <v>Duncan Keith</v>
          </cell>
          <cell r="E226">
            <v>60</v>
          </cell>
          <cell r="F226">
            <v>8</v>
          </cell>
          <cell r="G226">
            <v>25</v>
          </cell>
        </row>
        <row r="227">
          <cell r="D227" t="str">
            <v>Brent Seabrook</v>
          </cell>
          <cell r="E227">
            <v>64</v>
          </cell>
          <cell r="F227">
            <v>5</v>
          </cell>
          <cell r="G227">
            <v>11</v>
          </cell>
        </row>
        <row r="228">
          <cell r="D228" t="str">
            <v>Loui Eriksson</v>
          </cell>
          <cell r="E228">
            <v>66</v>
          </cell>
          <cell r="F228">
            <v>32</v>
          </cell>
          <cell r="G228">
            <v>19</v>
          </cell>
        </row>
        <row r="229">
          <cell r="D229" t="str">
            <v>Michael Ryder</v>
          </cell>
          <cell r="E229">
            <v>59</v>
          </cell>
          <cell r="F229">
            <v>23</v>
          </cell>
          <cell r="G229">
            <v>19</v>
          </cell>
        </row>
        <row r="230">
          <cell r="D230" t="str">
            <v>Tyler Arnason</v>
          </cell>
        </row>
        <row r="231">
          <cell r="B231">
            <v>27.643835616438356</v>
          </cell>
          <cell r="C231" t="str">
            <v>Phi</v>
          </cell>
          <cell r="D231" t="str">
            <v>Randy Jones</v>
          </cell>
          <cell r="E231">
            <v>26</v>
          </cell>
          <cell r="F231">
            <v>3</v>
          </cell>
          <cell r="G231">
            <v>2</v>
          </cell>
        </row>
        <row r="232">
          <cell r="D232" t="str">
            <v>Rob Blake</v>
          </cell>
          <cell r="E232">
            <v>62</v>
          </cell>
          <cell r="F232">
            <v>9</v>
          </cell>
          <cell r="G232">
            <v>30</v>
          </cell>
        </row>
        <row r="233">
          <cell r="D233" t="str">
            <v>David Bakes</v>
          </cell>
        </row>
        <row r="234">
          <cell r="D234" t="str">
            <v>Paul Ranger</v>
          </cell>
          <cell r="E234">
            <v>42</v>
          </cell>
          <cell r="F234">
            <v>2</v>
          </cell>
          <cell r="G234">
            <v>11</v>
          </cell>
        </row>
        <row r="235">
          <cell r="D235" t="str">
            <v>Filip Kuba</v>
          </cell>
          <cell r="E235">
            <v>56</v>
          </cell>
          <cell r="F235">
            <v>2</v>
          </cell>
          <cell r="G235">
            <v>28</v>
          </cell>
        </row>
        <row r="236">
          <cell r="D236" t="str">
            <v>Ryan Suter</v>
          </cell>
          <cell r="E236">
            <v>66</v>
          </cell>
          <cell r="F236">
            <v>5</v>
          </cell>
          <cell r="G236">
            <v>30</v>
          </cell>
        </row>
        <row r="237">
          <cell r="B237">
            <v>24.802739726027397</v>
          </cell>
          <cell r="C237" t="str">
            <v>Edm</v>
          </cell>
          <cell r="D237" t="str">
            <v>Kyle Brodziak</v>
          </cell>
          <cell r="E237">
            <v>4</v>
          </cell>
        </row>
        <row r="238">
          <cell r="B238">
            <v>29.87123287671233</v>
          </cell>
          <cell r="C238" t="str">
            <v>Cbj</v>
          </cell>
          <cell r="D238" t="str">
            <v>Jason Chimera</v>
          </cell>
          <cell r="E238">
            <v>31</v>
          </cell>
          <cell r="F238">
            <v>7</v>
          </cell>
          <cell r="G238">
            <v>11</v>
          </cell>
        </row>
        <row r="239">
          <cell r="B239">
            <v>27.926027397260274</v>
          </cell>
          <cell r="C239" t="str">
            <v>Van</v>
          </cell>
          <cell r="D239" t="str">
            <v>Alexandre Burrows</v>
          </cell>
          <cell r="E239">
            <v>64</v>
          </cell>
          <cell r="F239">
            <v>18</v>
          </cell>
          <cell r="G239">
            <v>17</v>
          </cell>
        </row>
        <row r="240">
          <cell r="D240" t="str">
            <v>Justin Williams</v>
          </cell>
          <cell r="E240">
            <v>33</v>
          </cell>
          <cell r="F240">
            <v>3</v>
          </cell>
          <cell r="G240">
            <v>7</v>
          </cell>
        </row>
        <row r="241">
          <cell r="B241">
            <v>25.435616438356163</v>
          </cell>
          <cell r="C241" t="str">
            <v>Phi</v>
          </cell>
          <cell r="D241" t="str">
            <v>Scottie Upshall</v>
          </cell>
          <cell r="E241">
            <v>12</v>
          </cell>
          <cell r="F241">
            <v>1</v>
          </cell>
          <cell r="G241">
            <v>3</v>
          </cell>
        </row>
        <row r="242">
          <cell r="D242" t="str">
            <v>Glen Murray</v>
          </cell>
        </row>
        <row r="243">
          <cell r="B243">
            <v>23.252054794520546</v>
          </cell>
          <cell r="C243" t="str">
            <v>Chi</v>
          </cell>
          <cell r="D243" t="str">
            <v>Andrew Ladd</v>
          </cell>
          <cell r="E243">
            <v>64</v>
          </cell>
          <cell r="F243">
            <v>11</v>
          </cell>
          <cell r="G243">
            <v>27</v>
          </cell>
        </row>
        <row r="244">
          <cell r="B244">
            <v>32.11506849315069</v>
          </cell>
          <cell r="C244" t="str">
            <v>Dal</v>
          </cell>
          <cell r="D244" t="str">
            <v>Mark Parrish</v>
          </cell>
          <cell r="E244">
            <v>40</v>
          </cell>
          <cell r="F244">
            <v>7</v>
          </cell>
          <cell r="G244">
            <v>5</v>
          </cell>
        </row>
        <row r="245">
          <cell r="D245" t="str">
            <v>Chris Kelly</v>
          </cell>
        </row>
        <row r="246">
          <cell r="D246" t="str">
            <v>Tomas Fleischman</v>
          </cell>
          <cell r="E246">
            <v>58</v>
          </cell>
          <cell r="F246">
            <v>17</v>
          </cell>
          <cell r="G246">
            <v>15</v>
          </cell>
        </row>
        <row r="247">
          <cell r="D247" t="str">
            <v>Ruslan Salei</v>
          </cell>
          <cell r="E247">
            <v>64</v>
          </cell>
          <cell r="F247">
            <v>4</v>
          </cell>
          <cell r="G247">
            <v>16</v>
          </cell>
        </row>
        <row r="248">
          <cell r="D248" t="str">
            <v>Nigel Dawes</v>
          </cell>
          <cell r="E248">
            <v>3</v>
          </cell>
        </row>
        <row r="249">
          <cell r="D249" t="str">
            <v>Tom Poti</v>
          </cell>
          <cell r="E249">
            <v>40</v>
          </cell>
          <cell r="F249">
            <v>3</v>
          </cell>
          <cell r="G249">
            <v>10</v>
          </cell>
        </row>
        <row r="250">
          <cell r="D250" t="str">
            <v>Radek Bonk</v>
          </cell>
        </row>
        <row r="251">
          <cell r="D251" t="str">
            <v>Maxim Afinogenov</v>
          </cell>
          <cell r="E251">
            <v>36</v>
          </cell>
          <cell r="F251">
            <v>2</v>
          </cell>
          <cell r="G251">
            <v>12</v>
          </cell>
        </row>
        <row r="252">
          <cell r="D252" t="str">
            <v>Niko Kapanen</v>
          </cell>
        </row>
        <row r="253">
          <cell r="D253" t="str">
            <v>Jordan Staal</v>
          </cell>
          <cell r="E253">
            <v>67</v>
          </cell>
          <cell r="F253">
            <v>17</v>
          </cell>
          <cell r="G253">
            <v>19</v>
          </cell>
        </row>
        <row r="254">
          <cell r="D254" t="str">
            <v>Martin Havlat</v>
          </cell>
          <cell r="E254">
            <v>64</v>
          </cell>
          <cell r="F254">
            <v>21</v>
          </cell>
          <cell r="G254">
            <v>36</v>
          </cell>
        </row>
        <row r="255">
          <cell r="D255" t="str">
            <v>Sergei Kostitsyn</v>
          </cell>
          <cell r="E255">
            <v>52</v>
          </cell>
          <cell r="F255">
            <v>8</v>
          </cell>
          <cell r="G255">
            <v>15</v>
          </cell>
        </row>
        <row r="256">
          <cell r="B256">
            <v>22.553424657534247</v>
          </cell>
          <cell r="C256" t="str">
            <v>Bos</v>
          </cell>
          <cell r="D256" t="str">
            <v>David Krejci</v>
          </cell>
          <cell r="E256">
            <v>67</v>
          </cell>
          <cell r="F256">
            <v>21</v>
          </cell>
          <cell r="G256">
            <v>40</v>
          </cell>
        </row>
        <row r="257">
          <cell r="D257" t="str">
            <v>David Perron</v>
          </cell>
          <cell r="E257">
            <v>64</v>
          </cell>
          <cell r="F257">
            <v>9</v>
          </cell>
          <cell r="G257">
            <v>29</v>
          </cell>
        </row>
        <row r="258">
          <cell r="D258" t="str">
            <v>Guillaume Latendresse</v>
          </cell>
          <cell r="E258">
            <v>43</v>
          </cell>
          <cell r="F258">
            <v>9</v>
          </cell>
          <cell r="G258">
            <v>9</v>
          </cell>
        </row>
        <row r="259">
          <cell r="D259" t="str">
            <v>Milan Lucic</v>
          </cell>
          <cell r="E259">
            <v>57</v>
          </cell>
          <cell r="F259">
            <v>13</v>
          </cell>
          <cell r="G259">
            <v>22</v>
          </cell>
        </row>
        <row r="260">
          <cell r="D260" t="str">
            <v>Pascal Dupuis</v>
          </cell>
          <cell r="E260">
            <v>56</v>
          </cell>
          <cell r="F260">
            <v>9</v>
          </cell>
          <cell r="G260">
            <v>12</v>
          </cell>
        </row>
        <row r="261">
          <cell r="D261" t="str">
            <v>Kim Johnsson</v>
          </cell>
          <cell r="E261">
            <v>64</v>
          </cell>
          <cell r="F261">
            <v>1</v>
          </cell>
          <cell r="G261">
            <v>18</v>
          </cell>
        </row>
        <row r="262">
          <cell r="B262">
            <v>26.252054794520546</v>
          </cell>
          <cell r="C262" t="str">
            <v>Nsh</v>
          </cell>
          <cell r="D262" t="str">
            <v>Dan Hamhuis</v>
          </cell>
          <cell r="E262">
            <v>10</v>
          </cell>
          <cell r="G262">
            <v>2</v>
          </cell>
        </row>
        <row r="263">
          <cell r="D263" t="str">
            <v>Ladislav Nagy</v>
          </cell>
        </row>
        <row r="264">
          <cell r="D264" t="str">
            <v>Mike Sillinger</v>
          </cell>
          <cell r="E264">
            <v>0</v>
          </cell>
        </row>
        <row r="265">
          <cell r="D265" t="str">
            <v>Richard Zednik</v>
          </cell>
        </row>
        <row r="266">
          <cell r="D266" t="str">
            <v>Rostilav Olesz</v>
          </cell>
        </row>
        <row r="267">
          <cell r="D267" t="str">
            <v>Peter Schaefer</v>
          </cell>
        </row>
        <row r="268">
          <cell r="D268" t="str">
            <v>Joni Pitkanen</v>
          </cell>
          <cell r="E268">
            <v>57</v>
          </cell>
          <cell r="F268">
            <v>6</v>
          </cell>
          <cell r="G268">
            <v>22</v>
          </cell>
        </row>
        <row r="269">
          <cell r="D269" t="str">
            <v>Maxim Talbot</v>
          </cell>
        </row>
        <row r="270">
          <cell r="D270" t="str">
            <v>David Vyborny</v>
          </cell>
        </row>
        <row r="271">
          <cell r="B271">
            <v>25.06027397260274</v>
          </cell>
          <cell r="C271" t="str">
            <v>Chi</v>
          </cell>
          <cell r="D271" t="str">
            <v>James Wisniewski</v>
          </cell>
          <cell r="E271">
            <v>31</v>
          </cell>
          <cell r="F271">
            <v>2</v>
          </cell>
          <cell r="G271">
            <v>11</v>
          </cell>
        </row>
        <row r="272">
          <cell r="D272" t="str">
            <v>Johnny Oduya</v>
          </cell>
          <cell r="E272">
            <v>65</v>
          </cell>
          <cell r="F272">
            <v>6</v>
          </cell>
          <cell r="G272">
            <v>20</v>
          </cell>
        </row>
        <row r="273">
          <cell r="D273" t="str">
            <v>Roman Hamrlik</v>
          </cell>
          <cell r="E273">
            <v>65</v>
          </cell>
          <cell r="F273">
            <v>4</v>
          </cell>
          <cell r="G273">
            <v>23</v>
          </cell>
        </row>
        <row r="274">
          <cell r="D274" t="str">
            <v>Matt Niskanen</v>
          </cell>
          <cell r="E274">
            <v>64</v>
          </cell>
          <cell r="F274">
            <v>5</v>
          </cell>
          <cell r="G274">
            <v>22</v>
          </cell>
        </row>
        <row r="275">
          <cell r="D275" t="str">
            <v>Toni Lydman</v>
          </cell>
          <cell r="E275">
            <v>65</v>
          </cell>
          <cell r="F275">
            <v>1</v>
          </cell>
          <cell r="G275">
            <v>15</v>
          </cell>
        </row>
        <row r="276">
          <cell r="D276" t="str">
            <v>Stephane Robidas</v>
          </cell>
          <cell r="E276">
            <v>63</v>
          </cell>
          <cell r="F276">
            <v>2</v>
          </cell>
          <cell r="G276">
            <v>21</v>
          </cell>
        </row>
        <row r="277">
          <cell r="D277" t="str">
            <v>Dan Boyle</v>
          </cell>
          <cell r="E277">
            <v>59</v>
          </cell>
          <cell r="F277">
            <v>14</v>
          </cell>
          <cell r="G277">
            <v>31</v>
          </cell>
        </row>
        <row r="278">
          <cell r="D278" t="str">
            <v>Brendan Morrison</v>
          </cell>
          <cell r="E278">
            <v>65</v>
          </cell>
          <cell r="F278">
            <v>10</v>
          </cell>
          <cell r="G278">
            <v>12</v>
          </cell>
        </row>
        <row r="279">
          <cell r="D279" t="str">
            <v>Scott Niedermayer</v>
          </cell>
          <cell r="E279">
            <v>67</v>
          </cell>
          <cell r="F279">
            <v>9</v>
          </cell>
          <cell r="G279">
            <v>34</v>
          </cell>
        </row>
        <row r="280">
          <cell r="D280" t="str">
            <v>Sami Salo</v>
          </cell>
          <cell r="E280">
            <v>42</v>
          </cell>
          <cell r="F280">
            <v>5</v>
          </cell>
          <cell r="G280">
            <v>12</v>
          </cell>
        </row>
        <row r="281">
          <cell r="D281" t="str">
            <v>Bryan Smolinski</v>
          </cell>
        </row>
        <row r="282">
          <cell r="B282">
            <v>24.317808219178083</v>
          </cell>
          <cell r="C282" t="str">
            <v>Fla</v>
          </cell>
          <cell r="D282" t="str">
            <v>Kamil Kreps</v>
          </cell>
          <cell r="E282">
            <v>11</v>
          </cell>
          <cell r="F282">
            <v>0</v>
          </cell>
          <cell r="G282">
            <v>2</v>
          </cell>
        </row>
        <row r="283">
          <cell r="D283" t="str">
            <v>Marty Reasoner</v>
          </cell>
        </row>
        <row r="284">
          <cell r="D284" t="str">
            <v>Derek Morris</v>
          </cell>
          <cell r="E284">
            <v>9</v>
          </cell>
        </row>
        <row r="285">
          <cell r="B285">
            <v>32.515068493150686</v>
          </cell>
          <cell r="C285" t="str">
            <v>Van</v>
          </cell>
          <cell r="D285" t="str">
            <v>Mattias Ohlund</v>
          </cell>
          <cell r="E285">
            <v>64</v>
          </cell>
          <cell r="F285">
            <v>4</v>
          </cell>
          <cell r="G285">
            <v>17</v>
          </cell>
        </row>
        <row r="286">
          <cell r="D286" t="str">
            <v>Jay Pandolfo</v>
          </cell>
        </row>
        <row r="287">
          <cell r="D287" t="str">
            <v>Daniel Carcillo</v>
          </cell>
        </row>
        <row r="288">
          <cell r="D288" t="str">
            <v>Jeff Hamilton</v>
          </cell>
        </row>
        <row r="289">
          <cell r="B289">
            <v>25.24109589041096</v>
          </cell>
          <cell r="C289" t="str">
            <v>Ana</v>
          </cell>
          <cell r="D289" t="str">
            <v>Erik Christensen</v>
          </cell>
          <cell r="E289">
            <v>21</v>
          </cell>
          <cell r="F289">
            <v>1</v>
          </cell>
          <cell r="G289">
            <v>7</v>
          </cell>
        </row>
        <row r="290">
          <cell r="B290">
            <v>27.26027397260274</v>
          </cell>
          <cell r="C290" t="str">
            <v>Cgy</v>
          </cell>
          <cell r="D290" t="str">
            <v>Rene Bourque</v>
          </cell>
          <cell r="E290">
            <v>58</v>
          </cell>
          <cell r="F290">
            <v>21</v>
          </cell>
          <cell r="G290">
            <v>19</v>
          </cell>
        </row>
        <row r="291">
          <cell r="D291" t="str">
            <v>Tom Preissing</v>
          </cell>
          <cell r="E291">
            <v>22</v>
          </cell>
          <cell r="F291">
            <v>3</v>
          </cell>
          <cell r="G291">
            <v>4</v>
          </cell>
        </row>
        <row r="292">
          <cell r="D292" t="str">
            <v>Teemu Selanne</v>
          </cell>
          <cell r="E292">
            <v>50</v>
          </cell>
          <cell r="F292">
            <v>20</v>
          </cell>
          <cell r="G292">
            <v>21</v>
          </cell>
        </row>
        <row r="293">
          <cell r="D293" t="str">
            <v>Bryan Mccabe</v>
          </cell>
          <cell r="E293">
            <v>56</v>
          </cell>
          <cell r="F293">
            <v>12</v>
          </cell>
          <cell r="G293">
            <v>21</v>
          </cell>
        </row>
        <row r="294">
          <cell r="B294">
            <v>29.356164383561644</v>
          </cell>
          <cell r="C294" t="str">
            <v>Det</v>
          </cell>
          <cell r="D294" t="str">
            <v>Brad Stuart</v>
          </cell>
          <cell r="E294">
            <v>25</v>
          </cell>
          <cell r="G294">
            <v>2</v>
          </cell>
        </row>
        <row r="295">
          <cell r="D295" t="str">
            <v>Stu Barnes</v>
          </cell>
        </row>
        <row r="296">
          <cell r="D296" t="str">
            <v>Bryan Berard</v>
          </cell>
        </row>
        <row r="297">
          <cell r="D297" t="str">
            <v>Fernando Pisani</v>
          </cell>
        </row>
        <row r="298">
          <cell r="D298" t="str">
            <v>Jiri Novotny</v>
          </cell>
        </row>
        <row r="299">
          <cell r="D299" t="str">
            <v>Dean McAmmond</v>
          </cell>
        </row>
        <row r="300">
          <cell r="B300">
            <v>26.69041095890411</v>
          </cell>
          <cell r="C300" t="str">
            <v>S.J.</v>
          </cell>
          <cell r="D300" t="str">
            <v>Christian Ehrhoff</v>
          </cell>
          <cell r="E300">
            <v>62</v>
          </cell>
          <cell r="F300">
            <v>7</v>
          </cell>
          <cell r="G300">
            <v>24</v>
          </cell>
        </row>
        <row r="301">
          <cell r="B301">
            <v>29.912328767123288</v>
          </cell>
          <cell r="C301" t="str">
            <v>Stl</v>
          </cell>
          <cell r="D301" t="str">
            <v>Eric Brewer</v>
          </cell>
          <cell r="E301">
            <v>28</v>
          </cell>
          <cell r="F301">
            <v>1</v>
          </cell>
          <cell r="G301">
            <v>5</v>
          </cell>
        </row>
        <row r="302">
          <cell r="D302" t="str">
            <v>Sean Bergenhein</v>
          </cell>
        </row>
        <row r="303">
          <cell r="D303" t="str">
            <v>Mike Grier</v>
          </cell>
        </row>
        <row r="304">
          <cell r="D304" t="str">
            <v>Frantisek Kaberle</v>
          </cell>
          <cell r="E304">
            <v>28</v>
          </cell>
          <cell r="G304">
            <v>6</v>
          </cell>
        </row>
        <row r="305">
          <cell r="D305" t="str">
            <v>David Clarkson</v>
          </cell>
          <cell r="E305">
            <v>65</v>
          </cell>
          <cell r="F305">
            <v>15</v>
          </cell>
          <cell r="G305">
            <v>13</v>
          </cell>
        </row>
        <row r="306">
          <cell r="D306" t="str">
            <v>Brett Clark</v>
          </cell>
          <cell r="E306">
            <v>66</v>
          </cell>
          <cell r="F306">
            <v>2</v>
          </cell>
          <cell r="G306">
            <v>10</v>
          </cell>
        </row>
        <row r="307">
          <cell r="D307" t="str">
            <v>Kyle Wellwood</v>
          </cell>
          <cell r="E307">
            <v>55</v>
          </cell>
          <cell r="F307">
            <v>14</v>
          </cell>
          <cell r="G307">
            <v>7</v>
          </cell>
        </row>
        <row r="308">
          <cell r="D308" t="str">
            <v>Chris Gratton</v>
          </cell>
        </row>
        <row r="309">
          <cell r="D309" t="str">
            <v>Fredrik Sjostrom</v>
          </cell>
        </row>
        <row r="310">
          <cell r="D310" t="str">
            <v>Shane O'Brien</v>
          </cell>
        </row>
        <row r="311">
          <cell r="B311">
            <v>26.2986301369863</v>
          </cell>
          <cell r="C311" t="str">
            <v>Fla</v>
          </cell>
          <cell r="D311" t="str">
            <v>Keith Ballard</v>
          </cell>
          <cell r="E311">
            <v>66</v>
          </cell>
          <cell r="F311">
            <v>5</v>
          </cell>
          <cell r="G311">
            <v>23</v>
          </cell>
        </row>
        <row r="312">
          <cell r="B312">
            <v>24.775342465753425</v>
          </cell>
          <cell r="C312" t="str">
            <v>Tor</v>
          </cell>
          <cell r="D312" t="str">
            <v>Ian White</v>
          </cell>
          <cell r="E312">
            <v>55</v>
          </cell>
          <cell r="F312">
            <v>8</v>
          </cell>
          <cell r="G312">
            <v>14</v>
          </cell>
        </row>
        <row r="313">
          <cell r="B313">
            <v>28.778082191780822</v>
          </cell>
          <cell r="C313" t="str">
            <v>Ana</v>
          </cell>
          <cell r="D313" t="str">
            <v>Francois Beauchemin</v>
          </cell>
          <cell r="E313">
            <v>18</v>
          </cell>
          <cell r="F313">
            <v>4</v>
          </cell>
          <cell r="G313">
            <v>1</v>
          </cell>
        </row>
        <row r="314">
          <cell r="D314" t="str">
            <v>Scott Hannan</v>
          </cell>
        </row>
        <row r="315">
          <cell r="B315">
            <v>32.013698630136986</v>
          </cell>
          <cell r="C315" t="str">
            <v>L.A.</v>
          </cell>
          <cell r="D315" t="str">
            <v>Michal Handzus</v>
          </cell>
          <cell r="E315">
            <v>65</v>
          </cell>
          <cell r="F315">
            <v>14</v>
          </cell>
          <cell r="G315">
            <v>19</v>
          </cell>
        </row>
        <row r="316">
          <cell r="D316" t="str">
            <v>Jozef Stumpel</v>
          </cell>
        </row>
        <row r="317">
          <cell r="D317" t="str">
            <v>Shea Weber</v>
          </cell>
          <cell r="E317">
            <v>65</v>
          </cell>
          <cell r="F317">
            <v>17</v>
          </cell>
          <cell r="G317">
            <v>23</v>
          </cell>
        </row>
        <row r="318">
          <cell r="B318">
            <v>38.153424657534245</v>
          </cell>
          <cell r="C318" t="str">
            <v>Nyi</v>
          </cell>
          <cell r="D318" t="str">
            <v>Doug Weight</v>
          </cell>
          <cell r="E318">
            <v>44</v>
          </cell>
          <cell r="F318">
            <v>9</v>
          </cell>
          <cell r="G318">
            <v>26</v>
          </cell>
        </row>
        <row r="319">
          <cell r="D319" t="str">
            <v>Ville Peltonen</v>
          </cell>
        </row>
        <row r="320">
          <cell r="D320" t="str">
            <v>Martin Gelinas</v>
          </cell>
        </row>
        <row r="321">
          <cell r="D321" t="str">
            <v>Brent Sopel</v>
          </cell>
        </row>
        <row r="322">
          <cell r="D322" t="str">
            <v>Kyle Calder</v>
          </cell>
        </row>
        <row r="323">
          <cell r="D323" t="str">
            <v>Alexander Edler</v>
          </cell>
          <cell r="E323">
            <v>62</v>
          </cell>
          <cell r="F323">
            <v>8</v>
          </cell>
          <cell r="G323">
            <v>22</v>
          </cell>
        </row>
        <row r="324">
          <cell r="D324" t="str">
            <v>Fedor Tyutin</v>
          </cell>
          <cell r="E324">
            <v>66</v>
          </cell>
          <cell r="F324">
            <v>8</v>
          </cell>
          <cell r="G324">
            <v>22</v>
          </cell>
        </row>
        <row r="325">
          <cell r="D325" t="str">
            <v>Robyn Regehr</v>
          </cell>
        </row>
        <row r="326">
          <cell r="D326" t="str">
            <v>Torrey Mitchell</v>
          </cell>
        </row>
        <row r="327">
          <cell r="D327" t="str">
            <v>Marc-André Bergeron</v>
          </cell>
          <cell r="E327">
            <v>55</v>
          </cell>
          <cell r="F327">
            <v>9</v>
          </cell>
          <cell r="G327">
            <v>16</v>
          </cell>
        </row>
        <row r="328">
          <cell r="D328" t="str">
            <v>Tyler Kennedy</v>
          </cell>
          <cell r="E328">
            <v>52</v>
          </cell>
          <cell r="F328">
            <v>11</v>
          </cell>
          <cell r="G328">
            <v>13</v>
          </cell>
        </row>
        <row r="329">
          <cell r="D329" t="str">
            <v>Kurtis Foster</v>
          </cell>
        </row>
        <row r="330">
          <cell r="D330" t="str">
            <v>Ian Laperriere</v>
          </cell>
        </row>
        <row r="331">
          <cell r="D331" t="str">
            <v>Simon Gagne</v>
          </cell>
          <cell r="E331">
            <v>61</v>
          </cell>
          <cell r="F331">
            <v>26</v>
          </cell>
          <cell r="G331">
            <v>34</v>
          </cell>
        </row>
        <row r="332">
          <cell r="D332" t="str">
            <v>Cam Barker</v>
          </cell>
          <cell r="E332">
            <v>51</v>
          </cell>
          <cell r="F332">
            <v>4</v>
          </cell>
          <cell r="G332">
            <v>28</v>
          </cell>
        </row>
        <row r="333">
          <cell r="D333" t="str">
            <v>Chris Campoli</v>
          </cell>
          <cell r="E333">
            <v>58</v>
          </cell>
          <cell r="F333">
            <v>8</v>
          </cell>
          <cell r="G333">
            <v>16</v>
          </cell>
        </row>
        <row r="334">
          <cell r="D334" t="str">
            <v>Henrik Tallinder</v>
          </cell>
        </row>
        <row r="335">
          <cell r="D335" t="str">
            <v>Rostislav Klesla</v>
          </cell>
        </row>
        <row r="336">
          <cell r="D336" t="str">
            <v>Devin Setoguchi</v>
          </cell>
          <cell r="E336">
            <v>63</v>
          </cell>
          <cell r="F336">
            <v>25</v>
          </cell>
          <cell r="G336">
            <v>28</v>
          </cell>
        </row>
        <row r="337">
          <cell r="D337" t="str">
            <v>Cory Murphy</v>
          </cell>
        </row>
        <row r="338">
          <cell r="B338">
            <v>26.742465753424657</v>
          </cell>
          <cell r="C338" t="str">
            <v>Nsh</v>
          </cell>
          <cell r="D338" t="str">
            <v>Ville Koistinen</v>
          </cell>
          <cell r="E338">
            <v>4</v>
          </cell>
        </row>
        <row r="339">
          <cell r="D339" t="str">
            <v>Joel Perrault</v>
          </cell>
        </row>
        <row r="340">
          <cell r="D340" t="str">
            <v>Paul Mara</v>
          </cell>
        </row>
        <row r="341">
          <cell r="D341" t="str">
            <v>Petr Prucha</v>
          </cell>
        </row>
        <row r="342">
          <cell r="D342" t="str">
            <v>Kristopher Letang</v>
          </cell>
          <cell r="E342">
            <v>59</v>
          </cell>
          <cell r="F342">
            <v>7</v>
          </cell>
          <cell r="G342">
            <v>16</v>
          </cell>
        </row>
        <row r="343">
          <cell r="D343" t="str">
            <v>Kris Draper</v>
          </cell>
        </row>
        <row r="344">
          <cell r="D344" t="str">
            <v>Radek Dvorak</v>
          </cell>
        </row>
        <row r="345">
          <cell r="D345" t="str">
            <v>Mike Komisarek</v>
          </cell>
        </row>
        <row r="346">
          <cell r="D346" t="str">
            <v>Zbynek Michalek</v>
          </cell>
        </row>
        <row r="347">
          <cell r="B347">
            <v>31.019178082191782</v>
          </cell>
          <cell r="C347" t="str">
            <v>Ott</v>
          </cell>
          <cell r="D347" t="str">
            <v>Chris Phillips</v>
          </cell>
          <cell r="E347">
            <v>24</v>
          </cell>
          <cell r="G347">
            <v>2</v>
          </cell>
        </row>
        <row r="348">
          <cell r="D348" t="str">
            <v>Martin Rucinsky</v>
          </cell>
        </row>
        <row r="349">
          <cell r="D349" t="str">
            <v>Bryan Little</v>
          </cell>
          <cell r="E349">
            <v>63</v>
          </cell>
          <cell r="F349">
            <v>28</v>
          </cell>
          <cell r="G349">
            <v>17</v>
          </cell>
        </row>
        <row r="350">
          <cell r="D350" t="str">
            <v>Jiri Tlusty</v>
          </cell>
        </row>
        <row r="351">
          <cell r="D351" t="str">
            <v>Boyd Gordon</v>
          </cell>
        </row>
        <row r="352">
          <cell r="D352" t="str">
            <v>Andy Hilbert</v>
          </cell>
        </row>
        <row r="353">
          <cell r="D353" t="str">
            <v>Bryan Allen</v>
          </cell>
        </row>
        <row r="354">
          <cell r="D354" t="str">
            <v>Todd Marchant</v>
          </cell>
        </row>
        <row r="355">
          <cell r="D355" t="str">
            <v>Rob Niedermayer</v>
          </cell>
        </row>
        <row r="356">
          <cell r="D356" t="str">
            <v>Barret Jackman</v>
          </cell>
        </row>
        <row r="357">
          <cell r="D357" t="str">
            <v>Steve Staios</v>
          </cell>
        </row>
        <row r="358">
          <cell r="D358" t="str">
            <v>Mikael Samuelsson</v>
          </cell>
          <cell r="E358">
            <v>65</v>
          </cell>
          <cell r="F358">
            <v>16</v>
          </cell>
          <cell r="G358">
            <v>20</v>
          </cell>
        </row>
        <row r="359">
          <cell r="D359" t="str">
            <v>Clarke MacArthur</v>
          </cell>
        </row>
        <row r="360">
          <cell r="D360" t="str">
            <v>Gary Roberts</v>
          </cell>
        </row>
        <row r="361">
          <cell r="D361" t="str">
            <v>Matt Carle</v>
          </cell>
          <cell r="E361">
            <v>58</v>
          </cell>
          <cell r="F361">
            <v>5</v>
          </cell>
          <cell r="G361">
            <v>13</v>
          </cell>
        </row>
        <row r="362">
          <cell r="D362" t="str">
            <v>Anton Volchenkov</v>
          </cell>
        </row>
        <row r="363">
          <cell r="D363" t="str">
            <v>Radek Martinek</v>
          </cell>
        </row>
        <row r="364">
          <cell r="D364" t="str">
            <v>Nick Schultz</v>
          </cell>
        </row>
        <row r="365">
          <cell r="D365" t="str">
            <v>Peter Forsberg</v>
          </cell>
        </row>
        <row r="366">
          <cell r="D366" t="str">
            <v>Philippe Boucher</v>
          </cell>
          <cell r="E366">
            <v>39</v>
          </cell>
          <cell r="F366">
            <v>2</v>
          </cell>
          <cell r="G366">
            <v>5</v>
          </cell>
        </row>
        <row r="367">
          <cell r="D367" t="str">
            <v>Brian Pothier</v>
          </cell>
          <cell r="E367">
            <v>0</v>
          </cell>
        </row>
        <row r="368">
          <cell r="D368" t="str">
            <v>Dan Fritsche</v>
          </cell>
        </row>
        <row r="369">
          <cell r="D369" t="str">
            <v>Yanic Perreault</v>
          </cell>
        </row>
        <row r="370">
          <cell r="D370" t="str">
            <v>Mike York</v>
          </cell>
        </row>
        <row r="371">
          <cell r="D371" t="str">
            <v>Mike Commodore</v>
          </cell>
        </row>
        <row r="372">
          <cell r="D372" t="str">
            <v>Niclas Havelid</v>
          </cell>
        </row>
        <row r="373">
          <cell r="B373">
            <v>21.956164383561642</v>
          </cell>
          <cell r="C373" t="str">
            <v>S.J.</v>
          </cell>
          <cell r="D373" t="str">
            <v>Marc-Édouard Vlasic</v>
          </cell>
          <cell r="E373">
            <v>64</v>
          </cell>
          <cell r="F373">
            <v>5</v>
          </cell>
          <cell r="G373">
            <v>26</v>
          </cell>
        </row>
        <row r="374">
          <cell r="D374" t="str">
            <v>Brandon Bochenski</v>
          </cell>
        </row>
        <row r="375">
          <cell r="B375">
            <v>28.613698630136987</v>
          </cell>
          <cell r="C375" t="str">
            <v>Cgy</v>
          </cell>
          <cell r="D375" t="str">
            <v>Jordan Leopold</v>
          </cell>
          <cell r="E375">
            <v>67</v>
          </cell>
          <cell r="F375">
            <v>7</v>
          </cell>
          <cell r="G375">
            <v>14</v>
          </cell>
        </row>
        <row r="376">
          <cell r="D376" t="str">
            <v>Karel Rachunek</v>
          </cell>
        </row>
        <row r="377">
          <cell r="D377" t="str">
            <v>Ryan Callahan</v>
          </cell>
        </row>
        <row r="378">
          <cell r="D378" t="str">
            <v>Bruno Gervais</v>
          </cell>
        </row>
        <row r="379">
          <cell r="D379" t="str">
            <v>Darryl Sydor</v>
          </cell>
        </row>
        <row r="380">
          <cell r="D380" t="str">
            <v>Fredrik Modin</v>
          </cell>
          <cell r="E380">
            <v>50</v>
          </cell>
          <cell r="F380">
            <v>9</v>
          </cell>
          <cell r="G380">
            <v>16</v>
          </cell>
        </row>
        <row r="381">
          <cell r="D381" t="str">
            <v>Steve Downie</v>
          </cell>
        </row>
        <row r="382">
          <cell r="D382" t="str">
            <v>Kevin Bieksa</v>
          </cell>
          <cell r="E382">
            <v>55</v>
          </cell>
          <cell r="F382">
            <v>11</v>
          </cell>
          <cell r="G382">
            <v>24</v>
          </cell>
        </row>
        <row r="383">
          <cell r="D383" t="str">
            <v>Maxim Lapierre</v>
          </cell>
        </row>
        <row r="384">
          <cell r="D384" t="str">
            <v>Dustin Boyd</v>
          </cell>
        </row>
        <row r="385">
          <cell r="D385" t="str">
            <v>Stephane Yelle</v>
          </cell>
        </row>
        <row r="386">
          <cell r="D386" t="str">
            <v>Nicholas Boynton</v>
          </cell>
        </row>
        <row r="387">
          <cell r="B387">
            <v>23.257534246575343</v>
          </cell>
          <cell r="C387" t="str">
            <v>Col</v>
          </cell>
          <cell r="D387" t="str">
            <v>T.J. Hensick</v>
          </cell>
          <cell r="E387">
            <v>22</v>
          </cell>
          <cell r="F387">
            <v>1</v>
          </cell>
          <cell r="G387">
            <v>7</v>
          </cell>
        </row>
        <row r="388">
          <cell r="D388" t="str">
            <v>Raffi Torres</v>
          </cell>
        </row>
        <row r="389">
          <cell r="D389" t="str">
            <v>Kyle Chipchura</v>
          </cell>
        </row>
        <row r="390">
          <cell r="B390">
            <v>26.01095890410959</v>
          </cell>
          <cell r="C390" t="str">
            <v>T.B.</v>
          </cell>
          <cell r="D390" t="str">
            <v>Lukas Krajicek</v>
          </cell>
          <cell r="E390">
            <v>56</v>
          </cell>
          <cell r="F390">
            <v>1</v>
          </cell>
          <cell r="G390">
            <v>10</v>
          </cell>
        </row>
        <row r="391">
          <cell r="D391" t="str">
            <v>Brad Isbister</v>
          </cell>
        </row>
        <row r="392">
          <cell r="D392" t="str">
            <v>Kyle McLaren</v>
          </cell>
        </row>
        <row r="393">
          <cell r="D393" t="str">
            <v>Jack Johnson</v>
          </cell>
          <cell r="E393">
            <v>23</v>
          </cell>
          <cell r="F393">
            <v>4</v>
          </cell>
          <cell r="G393">
            <v>2</v>
          </cell>
        </row>
        <row r="394">
          <cell r="D394" t="str">
            <v>Martin Skoula</v>
          </cell>
        </row>
        <row r="395">
          <cell r="D395" t="str">
            <v>Bobby Ryan</v>
          </cell>
          <cell r="E395">
            <v>49</v>
          </cell>
          <cell r="F395">
            <v>23</v>
          </cell>
          <cell r="G395">
            <v>20</v>
          </cell>
        </row>
        <row r="396">
          <cell r="D396" t="str">
            <v>Sheldon Souray</v>
          </cell>
          <cell r="E396">
            <v>64</v>
          </cell>
          <cell r="F396">
            <v>17</v>
          </cell>
          <cell r="G396">
            <v>23</v>
          </cell>
        </row>
        <row r="397">
          <cell r="D397" t="str">
            <v>Mark Bell</v>
          </cell>
        </row>
        <row r="398">
          <cell r="D398" t="str">
            <v>Petteri Nokelainen</v>
          </cell>
        </row>
        <row r="399">
          <cell r="B399">
            <v>26.372602739726027</v>
          </cell>
          <cell r="C399" t="str">
            <v>N.J.</v>
          </cell>
          <cell r="D399" t="str">
            <v>Andy Greene</v>
          </cell>
          <cell r="E399">
            <v>41</v>
          </cell>
          <cell r="F399">
            <v>1</v>
          </cell>
          <cell r="G399">
            <v>7</v>
          </cell>
        </row>
        <row r="400">
          <cell r="B400">
            <v>21.865753424657534</v>
          </cell>
          <cell r="C400" t="str">
            <v>Cbj</v>
          </cell>
          <cell r="D400" t="str">
            <v>Kris Russell</v>
          </cell>
          <cell r="E400">
            <v>5</v>
          </cell>
          <cell r="G400">
            <v>1</v>
          </cell>
        </row>
        <row r="401">
          <cell r="D401" t="str">
            <v>Marc Stall</v>
          </cell>
          <cell r="E401">
            <v>66</v>
          </cell>
          <cell r="F401">
            <v>2</v>
          </cell>
          <cell r="G401">
            <v>9</v>
          </cell>
        </row>
        <row r="402">
          <cell r="D402" t="str">
            <v>Chris Clark</v>
          </cell>
        </row>
        <row r="403">
          <cell r="B403">
            <v>25.117808219178084</v>
          </cell>
          <cell r="C403" t="str">
            <v>Tor</v>
          </cell>
          <cell r="D403" t="str">
            <v>Mikhail Grabovsky</v>
          </cell>
          <cell r="E403">
            <v>62</v>
          </cell>
          <cell r="F403">
            <v>13</v>
          </cell>
          <cell r="G403">
            <v>18</v>
          </cell>
        </row>
        <row r="404">
          <cell r="D404" t="str">
            <v>Nick Foligno</v>
          </cell>
        </row>
        <row r="405">
          <cell r="D405" t="str">
            <v>Gilbert Brule</v>
          </cell>
        </row>
        <row r="406">
          <cell r="D406" t="str">
            <v>Sean O'Donnell</v>
          </cell>
        </row>
        <row r="407">
          <cell r="D407" t="str">
            <v>Ryane Clowe</v>
          </cell>
          <cell r="E407">
            <v>64</v>
          </cell>
          <cell r="F407">
            <v>22</v>
          </cell>
          <cell r="G407">
            <v>29</v>
          </cell>
        </row>
        <row r="408">
          <cell r="B408">
            <v>25.02191780821918</v>
          </cell>
          <cell r="C408" t="str">
            <v>Stl</v>
          </cell>
          <cell r="D408" t="str">
            <v>Steve Wagner</v>
          </cell>
          <cell r="E408">
            <v>12</v>
          </cell>
          <cell r="F408">
            <v>1</v>
          </cell>
          <cell r="G408">
            <v>1</v>
          </cell>
        </row>
        <row r="409">
          <cell r="D409" t="str">
            <v>Andrej Sekeras</v>
          </cell>
          <cell r="E409">
            <v>54</v>
          </cell>
          <cell r="F409">
            <v>3</v>
          </cell>
          <cell r="G409">
            <v>13</v>
          </cell>
        </row>
        <row r="410">
          <cell r="D410" t="str">
            <v>Patrick Thoresen</v>
          </cell>
        </row>
        <row r="411">
          <cell r="D411" t="str">
            <v>Dimitri Kalinin</v>
          </cell>
        </row>
        <row r="412">
          <cell r="D412" t="str">
            <v>Marcel Hossa</v>
          </cell>
        </row>
        <row r="413">
          <cell r="D413" t="str">
            <v>Alexei Zhitnik</v>
          </cell>
        </row>
        <row r="414">
          <cell r="D414" t="str">
            <v>Sami Kapanen</v>
          </cell>
        </row>
        <row r="415">
          <cell r="D415" t="str">
            <v>Patrice Bergeron</v>
          </cell>
          <cell r="E415">
            <v>51</v>
          </cell>
          <cell r="F415">
            <v>7</v>
          </cell>
          <cell r="G415">
            <v>24</v>
          </cell>
        </row>
        <row r="416">
          <cell r="B416">
            <v>24.65205479452055</v>
          </cell>
          <cell r="C416" t="str">
            <v>Mtl</v>
          </cell>
          <cell r="D416" t="str">
            <v>Ryan O'Byrne</v>
          </cell>
        </row>
        <row r="417">
          <cell r="D417" t="str">
            <v>Nathan Paestsch</v>
          </cell>
        </row>
        <row r="418">
          <cell r="D418" t="str">
            <v>André Roy</v>
          </cell>
        </row>
        <row r="419">
          <cell r="D419" t="str">
            <v>Vitaly Vishnevski</v>
          </cell>
        </row>
        <row r="420">
          <cell r="D420" t="str">
            <v>Cory Sarich</v>
          </cell>
        </row>
        <row r="421">
          <cell r="D421" t="str">
            <v>Eric Fehr</v>
          </cell>
          <cell r="E421">
            <v>46</v>
          </cell>
          <cell r="F421">
            <v>10</v>
          </cell>
          <cell r="G421">
            <v>11</v>
          </cell>
        </row>
        <row r="422">
          <cell r="B422">
            <v>23.427397260273974</v>
          </cell>
          <cell r="C422" t="str">
            <v>Ott</v>
          </cell>
          <cell r="D422" t="str">
            <v>Alex Picard</v>
          </cell>
          <cell r="E422">
            <v>47</v>
          </cell>
          <cell r="F422">
            <v>6</v>
          </cell>
          <cell r="G422">
            <v>8</v>
          </cell>
        </row>
        <row r="423">
          <cell r="D423" t="str">
            <v>Kyle Okposo</v>
          </cell>
          <cell r="E423">
            <v>53</v>
          </cell>
          <cell r="F423">
            <v>14</v>
          </cell>
          <cell r="G423">
            <v>11</v>
          </cell>
        </row>
        <row r="424">
          <cell r="B424">
            <v>21.81917808219178</v>
          </cell>
          <cell r="C424" t="str">
            <v>Chi</v>
          </cell>
          <cell r="D424" t="str">
            <v>Jack Skille</v>
          </cell>
          <cell r="E424">
            <v>6</v>
          </cell>
          <cell r="F424">
            <v>1</v>
          </cell>
          <cell r="G424">
            <v>0</v>
          </cell>
        </row>
        <row r="425">
          <cell r="D425" t="str">
            <v>Matt Lashoff</v>
          </cell>
        </row>
        <row r="426">
          <cell r="D426" t="str">
            <v>John Pohl</v>
          </cell>
        </row>
        <row r="427">
          <cell r="D427" t="str">
            <v>Kyle Cumiskey</v>
          </cell>
        </row>
        <row r="428">
          <cell r="D428" t="str">
            <v>Marcus Nilson</v>
          </cell>
        </row>
        <row r="429">
          <cell r="D429" t="str">
            <v>Lasse Kukkonen</v>
          </cell>
        </row>
        <row r="430">
          <cell r="D430" t="str">
            <v>Rhett Warrener</v>
          </cell>
        </row>
        <row r="431">
          <cell r="D431" t="str">
            <v>Simon Gamache</v>
          </cell>
        </row>
        <row r="432">
          <cell r="D432" t="str">
            <v>Patrick Eaves</v>
          </cell>
        </row>
        <row r="433">
          <cell r="D433" t="str">
            <v>Ted Purcell</v>
          </cell>
          <cell r="E433">
            <v>24</v>
          </cell>
          <cell r="F433">
            <v>3</v>
          </cell>
          <cell r="G433">
            <v>8</v>
          </cell>
        </row>
        <row r="434">
          <cell r="B434">
            <v>22.454794520547946</v>
          </cell>
          <cell r="C434" t="str">
            <v>Min</v>
          </cell>
          <cell r="D434" t="str">
            <v>Benoit Pouliot</v>
          </cell>
          <cell r="E434">
            <v>37</v>
          </cell>
          <cell r="F434">
            <v>5</v>
          </cell>
          <cell r="G434">
            <v>6</v>
          </cell>
        </row>
        <row r="435">
          <cell r="B435">
            <v>24.887671232876713</v>
          </cell>
          <cell r="C435" t="str">
            <v>Atl</v>
          </cell>
          <cell r="D435" t="str">
            <v>Brett Sterling</v>
          </cell>
          <cell r="E435">
            <v>0</v>
          </cell>
        </row>
        <row r="436">
          <cell r="D436" t="str">
            <v>Jaroslav Hlinka</v>
          </cell>
        </row>
        <row r="437">
          <cell r="D437" t="str">
            <v>Mike Zigomanis</v>
          </cell>
        </row>
        <row r="438">
          <cell r="D438" t="str">
            <v>Ryan Shannon</v>
          </cell>
        </row>
        <row r="439">
          <cell r="D439" t="str">
            <v>Derick Brassard</v>
          </cell>
          <cell r="E439">
            <v>31</v>
          </cell>
          <cell r="F439">
            <v>10</v>
          </cell>
          <cell r="G439">
            <v>15</v>
          </cell>
        </row>
        <row r="440">
          <cell r="B440">
            <v>25.13150684931507</v>
          </cell>
          <cell r="C440" t="str">
            <v>Tor</v>
          </cell>
          <cell r="D440" t="str">
            <v>Jeremy Williams</v>
          </cell>
          <cell r="E440">
            <v>10</v>
          </cell>
          <cell r="F440">
            <v>5</v>
          </cell>
          <cell r="G440">
            <v>2</v>
          </cell>
        </row>
        <row r="441">
          <cell r="D441" t="str">
            <v>Mike Van Ryn</v>
          </cell>
          <cell r="E441">
            <v>27</v>
          </cell>
          <cell r="F441">
            <v>3</v>
          </cell>
          <cell r="G441">
            <v>8</v>
          </cell>
        </row>
        <row r="442">
          <cell r="D442" t="str">
            <v>Milan Jurcina</v>
          </cell>
        </row>
        <row r="443">
          <cell r="D443" t="str">
            <v>Jon Sim</v>
          </cell>
        </row>
        <row r="444">
          <cell r="D444" t="str">
            <v>Kyle Turris</v>
          </cell>
          <cell r="E444">
            <v>52</v>
          </cell>
          <cell r="F444">
            <v>6</v>
          </cell>
          <cell r="G444">
            <v>10</v>
          </cell>
        </row>
        <row r="445">
          <cell r="D445" t="str">
            <v>Josh Hennessy</v>
          </cell>
        </row>
        <row r="446">
          <cell r="D446" t="str">
            <v>Chris Neil</v>
          </cell>
        </row>
        <row r="447">
          <cell r="D447" t="str">
            <v>Angelo Esposito</v>
          </cell>
          <cell r="E447">
            <v>0</v>
          </cell>
        </row>
        <row r="448">
          <cell r="B448">
            <v>25.446575342465753</v>
          </cell>
          <cell r="C448" t="str">
            <v>Cgy</v>
          </cell>
          <cell r="D448" t="str">
            <v>Mark Giordano</v>
          </cell>
          <cell r="E448">
            <v>25</v>
          </cell>
          <cell r="F448">
            <v>1</v>
          </cell>
          <cell r="G448">
            <v>9</v>
          </cell>
        </row>
        <row r="449">
          <cell r="D449" t="str">
            <v>Danny Irmen</v>
          </cell>
        </row>
        <row r="450">
          <cell r="D450" t="str">
            <v>Olivier Latendressse</v>
          </cell>
        </row>
        <row r="451">
          <cell r="B451">
            <v>34.6958904109589</v>
          </cell>
          <cell r="C451" t="str">
            <v>Nsh</v>
          </cell>
          <cell r="D451" t="str">
            <v>Steve Sullivan</v>
          </cell>
          <cell r="E451">
            <v>25</v>
          </cell>
          <cell r="F451">
            <v>7</v>
          </cell>
          <cell r="G451">
            <v>10</v>
          </cell>
        </row>
        <row r="452">
          <cell r="D452" t="str">
            <v>Teppo Numminen</v>
          </cell>
        </row>
        <row r="453">
          <cell r="B453">
            <v>22.389041095890413</v>
          </cell>
          <cell r="C453" t="str">
            <v>Mtl</v>
          </cell>
          <cell r="D453" t="str">
            <v>Matt D'Agostini</v>
          </cell>
          <cell r="E453">
            <v>43</v>
          </cell>
          <cell r="F453">
            <v>10</v>
          </cell>
          <cell r="G453">
            <v>8</v>
          </cell>
        </row>
        <row r="454">
          <cell r="D454" t="str">
            <v>Nicklas Bergfors</v>
          </cell>
        </row>
        <row r="455">
          <cell r="B455">
            <v>22.7013698630137</v>
          </cell>
          <cell r="C455" t="str">
            <v>Edm</v>
          </cell>
          <cell r="D455" t="str">
            <v>Rob Schremp</v>
          </cell>
          <cell r="E455">
            <v>4</v>
          </cell>
          <cell r="F455">
            <v>0</v>
          </cell>
          <cell r="G455">
            <v>3</v>
          </cell>
        </row>
        <row r="456">
          <cell r="D456" t="str">
            <v>Noah Welch</v>
          </cell>
        </row>
        <row r="457">
          <cell r="D457" t="str">
            <v>Geoff Platt</v>
          </cell>
        </row>
        <row r="458">
          <cell r="D458" t="str">
            <v>Petteri Nummelin</v>
          </cell>
        </row>
        <row r="459">
          <cell r="D459" t="str">
            <v>Bates Battaglia</v>
          </cell>
        </row>
        <row r="460">
          <cell r="D460" t="str">
            <v>Ryan Parent</v>
          </cell>
        </row>
        <row r="461">
          <cell r="D461" t="str">
            <v>Shane Hnidy</v>
          </cell>
        </row>
        <row r="462">
          <cell r="D462" t="str">
            <v>Garnett Burnett</v>
          </cell>
        </row>
        <row r="463">
          <cell r="D463" t="str">
            <v>Steve Thomas</v>
          </cell>
        </row>
        <row r="464">
          <cell r="D464" t="str">
            <v>Jason Krog</v>
          </cell>
        </row>
        <row r="465">
          <cell r="D465" t="str">
            <v>Keith Carney</v>
          </cell>
        </row>
        <row r="466">
          <cell r="D466" t="str">
            <v>Fredrik Olausson</v>
          </cell>
        </row>
        <row r="467">
          <cell r="D467" t="str">
            <v>Alexei Smirnov</v>
          </cell>
        </row>
        <row r="468">
          <cell r="D468" t="str">
            <v>Steve McCarthy</v>
          </cell>
        </row>
        <row r="469">
          <cell r="D469" t="str">
            <v>Ken Klee</v>
          </cell>
        </row>
        <row r="470">
          <cell r="D470" t="str">
            <v>Tony Hrkac</v>
          </cell>
        </row>
        <row r="471">
          <cell r="D471" t="str">
            <v>Tomi Kallio</v>
          </cell>
        </row>
        <row r="472">
          <cell r="D472" t="str">
            <v>Ramzi Abid</v>
          </cell>
        </row>
        <row r="473">
          <cell r="D473" t="str">
            <v>Mark Hartigan</v>
          </cell>
        </row>
        <row r="474">
          <cell r="D474" t="str">
            <v>Francis Lessard</v>
          </cell>
        </row>
        <row r="475">
          <cell r="D475" t="str">
            <v>Zach Bogosian</v>
          </cell>
          <cell r="E475">
            <v>31</v>
          </cell>
          <cell r="F475">
            <v>3</v>
          </cell>
          <cell r="G475">
            <v>5</v>
          </cell>
        </row>
        <row r="476">
          <cell r="D476" t="str">
            <v>Aaron Ward</v>
          </cell>
        </row>
        <row r="477">
          <cell r="D477" t="str">
            <v>Andrew Ference</v>
          </cell>
        </row>
        <row r="478">
          <cell r="D478" t="str">
            <v>Stanislav Chistov</v>
          </cell>
        </row>
        <row r="479">
          <cell r="D479" t="str">
            <v>Shawn Mcearchern</v>
          </cell>
        </row>
        <row r="480">
          <cell r="D480" t="str">
            <v>Ian Moran</v>
          </cell>
        </row>
        <row r="481">
          <cell r="D481" t="str">
            <v>Marty McInnis</v>
          </cell>
        </row>
        <row r="482">
          <cell r="D482" t="str">
            <v>Andrew Peters</v>
          </cell>
        </row>
        <row r="483">
          <cell r="D483" t="str">
            <v>Tyler Myers</v>
          </cell>
        </row>
        <row r="484">
          <cell r="D484" t="str">
            <v>Nathan Gerbe</v>
          </cell>
          <cell r="E484">
            <v>0</v>
          </cell>
        </row>
        <row r="485">
          <cell r="D485" t="str">
            <v>Bret Hedican</v>
          </cell>
        </row>
        <row r="486">
          <cell r="D486" t="str">
            <v>Niclas Wallin</v>
          </cell>
        </row>
        <row r="487">
          <cell r="D487" t="str">
            <v>Trevor Letowski</v>
          </cell>
        </row>
        <row r="488">
          <cell r="D488" t="str">
            <v>Zach Boychuk</v>
          </cell>
        </row>
        <row r="489">
          <cell r="D489" t="str">
            <v>Alexander Svitov</v>
          </cell>
        </row>
        <row r="490">
          <cell r="D490" t="str">
            <v>Duvie Westcott</v>
          </cell>
        </row>
        <row r="491">
          <cell r="D491" t="str">
            <v>Nikita Filatov</v>
          </cell>
          <cell r="E491">
            <v>8</v>
          </cell>
          <cell r="F491">
            <v>4</v>
          </cell>
        </row>
        <row r="492">
          <cell r="D492" t="str">
            <v>Jakub Voracek</v>
          </cell>
          <cell r="E492">
            <v>64</v>
          </cell>
          <cell r="F492">
            <v>9</v>
          </cell>
          <cell r="G492">
            <v>23</v>
          </cell>
        </row>
        <row r="493">
          <cell r="D493" t="str">
            <v>Stephan Legein</v>
          </cell>
        </row>
        <row r="494">
          <cell r="D494" t="str">
            <v>Jonas Nordqvist</v>
          </cell>
        </row>
        <row r="495">
          <cell r="B495">
            <v>19.076712328767123</v>
          </cell>
          <cell r="C495" t="str">
            <v>Chi</v>
          </cell>
          <cell r="D495" t="str">
            <v>Kyle Beach</v>
          </cell>
          <cell r="E495">
            <v>0</v>
          </cell>
        </row>
        <row r="496">
          <cell r="D496" t="str">
            <v>Troy Brouwer</v>
          </cell>
          <cell r="E496">
            <v>55</v>
          </cell>
          <cell r="F496">
            <v>9</v>
          </cell>
          <cell r="G496">
            <v>14</v>
          </cell>
        </row>
        <row r="497">
          <cell r="D497" t="str">
            <v>Adam Foote</v>
          </cell>
        </row>
        <row r="498">
          <cell r="D498" t="str">
            <v>Antti Laaksonen</v>
          </cell>
        </row>
        <row r="499">
          <cell r="D499" t="str">
            <v>Riku Hahl</v>
          </cell>
        </row>
        <row r="500">
          <cell r="D500" t="str">
            <v>Chris Stewart</v>
          </cell>
          <cell r="E500">
            <v>41</v>
          </cell>
          <cell r="F500">
            <v>10</v>
          </cell>
          <cell r="G500">
            <v>7</v>
          </cell>
        </row>
        <row r="501">
          <cell r="D501" t="str">
            <v>Per Ledin</v>
          </cell>
        </row>
        <row r="502">
          <cell r="D502" t="str">
            <v>Fabian Brunnstrom</v>
          </cell>
          <cell r="E502">
            <v>45</v>
          </cell>
          <cell r="F502">
            <v>13</v>
          </cell>
          <cell r="G502">
            <v>10</v>
          </cell>
        </row>
        <row r="503">
          <cell r="D503" t="str">
            <v>Chris Chelios</v>
          </cell>
        </row>
        <row r="504">
          <cell r="D504" t="str">
            <v>Kirk Maltby</v>
          </cell>
        </row>
        <row r="505">
          <cell r="D505" t="str">
            <v>Greg Johnson</v>
          </cell>
        </row>
        <row r="506">
          <cell r="D506" t="str">
            <v>Jakub Kindl</v>
          </cell>
        </row>
        <row r="507">
          <cell r="B507">
            <v>25.76164383561644</v>
          </cell>
          <cell r="C507" t="str">
            <v>Det</v>
          </cell>
          <cell r="D507" t="str">
            <v>Ville Leino</v>
          </cell>
          <cell r="E507">
            <v>13</v>
          </cell>
          <cell r="F507">
            <v>5</v>
          </cell>
          <cell r="G507">
            <v>4</v>
          </cell>
        </row>
        <row r="508">
          <cell r="D508" t="str">
            <v>Darren Helm</v>
          </cell>
        </row>
        <row r="509">
          <cell r="D509" t="str">
            <v>Geoff Sanderson</v>
          </cell>
        </row>
        <row r="510">
          <cell r="D510" t="str">
            <v>Dick Tarnstrom</v>
          </cell>
        </row>
        <row r="511">
          <cell r="D511" t="str">
            <v>Jordan Eberle</v>
          </cell>
        </row>
        <row r="512">
          <cell r="D512" t="str">
            <v>Ryan Potulny</v>
          </cell>
        </row>
        <row r="513">
          <cell r="D513" t="str">
            <v>Alexei Yashin</v>
          </cell>
        </row>
        <row r="514">
          <cell r="D514" t="str">
            <v>Petr Cajanek</v>
          </cell>
        </row>
        <row r="515">
          <cell r="D515" t="str">
            <v>Jaroslav Modry</v>
          </cell>
        </row>
        <row r="516">
          <cell r="D516" t="str">
            <v>Sean Hill</v>
          </cell>
        </row>
        <row r="517">
          <cell r="D517" t="str">
            <v>Petr Nedved</v>
          </cell>
        </row>
        <row r="518">
          <cell r="D518" t="str">
            <v>Alexander Perezhogin</v>
          </cell>
        </row>
        <row r="519">
          <cell r="D519" t="str">
            <v>Alexei Morozov</v>
          </cell>
        </row>
        <row r="520">
          <cell r="D520" t="str">
            <v>Milan Kraft</v>
          </cell>
        </row>
        <row r="521">
          <cell r="D521" t="str">
            <v>Oleg Saprykin</v>
          </cell>
        </row>
        <row r="522">
          <cell r="D522" t="str">
            <v>Theoren Fleury</v>
          </cell>
        </row>
        <row r="523">
          <cell r="D523" t="str">
            <v>Denis Arkhipov</v>
          </cell>
        </row>
        <row r="524">
          <cell r="D524" t="str">
            <v>Joroslav Bednar</v>
          </cell>
        </row>
        <row r="525">
          <cell r="D525" t="str">
            <v>Ivan Novoseltsev</v>
          </cell>
        </row>
        <row r="526">
          <cell r="D526" t="str">
            <v>Alexander Karpovtsev</v>
          </cell>
        </row>
        <row r="527">
          <cell r="D527" t="str">
            <v>Michael Frolik</v>
          </cell>
          <cell r="E527">
            <v>63</v>
          </cell>
          <cell r="F527">
            <v>17</v>
          </cell>
          <cell r="G527">
            <v>17</v>
          </cell>
        </row>
        <row r="528">
          <cell r="D528" t="str">
            <v>Shawn Mathias</v>
          </cell>
          <cell r="E528">
            <v>17</v>
          </cell>
          <cell r="G528">
            <v>2</v>
          </cell>
        </row>
        <row r="529">
          <cell r="D529" t="str">
            <v>Scott Thornton</v>
          </cell>
        </row>
        <row r="530">
          <cell r="D530" t="str">
            <v>Trent Klatt</v>
          </cell>
        </row>
        <row r="531">
          <cell r="D531" t="str">
            <v>Aaron Miller</v>
          </cell>
        </row>
        <row r="532">
          <cell r="D532" t="str">
            <v>Adam Deadmarsh</v>
          </cell>
        </row>
        <row r="533">
          <cell r="D533" t="str">
            <v>Steve Heinze</v>
          </cell>
        </row>
        <row r="534">
          <cell r="D534" t="str">
            <v>Drew Doughty</v>
          </cell>
          <cell r="E534">
            <v>64</v>
          </cell>
          <cell r="F534">
            <v>4</v>
          </cell>
          <cell r="G534">
            <v>17</v>
          </cell>
        </row>
        <row r="535">
          <cell r="D535" t="str">
            <v>Colten Teubert</v>
          </cell>
        </row>
        <row r="536">
          <cell r="B536">
            <v>20.545205479452054</v>
          </cell>
          <cell r="C536" t="str">
            <v>L.A.</v>
          </cell>
          <cell r="D536" t="str">
            <v>Wayne Simmonds</v>
          </cell>
          <cell r="E536">
            <v>16</v>
          </cell>
          <cell r="F536">
            <v>1</v>
          </cell>
          <cell r="G536">
            <v>1</v>
          </cell>
        </row>
        <row r="537">
          <cell r="D537" t="str">
            <v>Chris Simon</v>
          </cell>
        </row>
        <row r="538">
          <cell r="D538" t="str">
            <v>Andrei Nazarov</v>
          </cell>
        </row>
        <row r="539">
          <cell r="D539" t="str">
            <v>Mathieu Dandenault</v>
          </cell>
        </row>
        <row r="540">
          <cell r="D540" t="str">
            <v>John Madden</v>
          </cell>
        </row>
        <row r="541">
          <cell r="D541" t="str">
            <v>Sergei Brylin</v>
          </cell>
        </row>
        <row r="542">
          <cell r="D542" t="str">
            <v>Fedor Fedorov</v>
          </cell>
        </row>
        <row r="543">
          <cell r="D543" t="str">
            <v>Petr Vrana</v>
          </cell>
        </row>
        <row r="544">
          <cell r="D544" t="str">
            <v>Barry Tallackson</v>
          </cell>
        </row>
        <row r="545">
          <cell r="D545" t="str">
            <v>Jordin Tootoo</v>
          </cell>
        </row>
        <row r="546">
          <cell r="D546" t="str">
            <v>Greg De Vries</v>
          </cell>
        </row>
        <row r="547">
          <cell r="D547" t="str">
            <v>Nolan Yonkman</v>
          </cell>
        </row>
        <row r="548">
          <cell r="D548" t="str">
            <v>Cody Franson</v>
          </cell>
        </row>
        <row r="549">
          <cell r="D549" t="str">
            <v>Colin Wilson</v>
          </cell>
        </row>
        <row r="550">
          <cell r="D550" t="str">
            <v>Patric Hornqvist</v>
          </cell>
          <cell r="E550">
            <v>20</v>
          </cell>
          <cell r="F550">
            <v>2</v>
          </cell>
          <cell r="G550">
            <v>5</v>
          </cell>
        </row>
        <row r="551">
          <cell r="D551" t="str">
            <v>Shawn Bates</v>
          </cell>
        </row>
        <row r="552">
          <cell r="D552" t="str">
            <v>Jeff Tambellini</v>
          </cell>
        </row>
        <row r="553">
          <cell r="D553" t="str">
            <v>Frans Nielsen</v>
          </cell>
        </row>
        <row r="554">
          <cell r="B554">
            <v>19.443835616438356</v>
          </cell>
          <cell r="C554" t="str">
            <v>Nyi</v>
          </cell>
          <cell r="D554" t="str">
            <v>Josh Bailey</v>
          </cell>
          <cell r="E554">
            <v>52</v>
          </cell>
          <cell r="F554">
            <v>3</v>
          </cell>
          <cell r="G554">
            <v>16</v>
          </cell>
        </row>
        <row r="555">
          <cell r="D555" t="str">
            <v>Ben Walker</v>
          </cell>
        </row>
        <row r="556">
          <cell r="D556" t="str">
            <v>Marek Malik</v>
          </cell>
        </row>
        <row r="557">
          <cell r="D557" t="str">
            <v>Darius Kasparaitis</v>
          </cell>
        </row>
        <row r="558">
          <cell r="D558" t="str">
            <v>Jason Strudwick</v>
          </cell>
        </row>
        <row r="559">
          <cell r="D559" t="str">
            <v>Artem Anisimov</v>
          </cell>
        </row>
        <row r="560">
          <cell r="D560" t="str">
            <v>Jason Smith</v>
          </cell>
        </row>
        <row r="561">
          <cell r="D561" t="str">
            <v>Luke Richardson</v>
          </cell>
        </row>
        <row r="562">
          <cell r="D562" t="str">
            <v>Martin Lapointe</v>
          </cell>
        </row>
        <row r="563">
          <cell r="D563" t="str">
            <v>Erik Karlsson</v>
          </cell>
        </row>
        <row r="564">
          <cell r="D564" t="str">
            <v>Alexander Nikulin</v>
          </cell>
        </row>
        <row r="565">
          <cell r="D565" t="str">
            <v>Ilya Zubov</v>
          </cell>
        </row>
        <row r="566">
          <cell r="D566" t="str">
            <v>Brian Lee</v>
          </cell>
          <cell r="E566">
            <v>36</v>
          </cell>
          <cell r="F566">
            <v>2</v>
          </cell>
          <cell r="G566">
            <v>9</v>
          </cell>
        </row>
        <row r="567">
          <cell r="D567" t="str">
            <v>Lawrence Nycholat</v>
          </cell>
        </row>
        <row r="568">
          <cell r="D568" t="str">
            <v>Steve Eminger</v>
          </cell>
          <cell r="E568">
            <v>64</v>
          </cell>
          <cell r="F568">
            <v>4</v>
          </cell>
          <cell r="G568">
            <v>21</v>
          </cell>
        </row>
        <row r="569">
          <cell r="D569" t="str">
            <v>Derian Hatcher</v>
          </cell>
        </row>
        <row r="570">
          <cell r="D570" t="str">
            <v>Mike Rathje</v>
          </cell>
        </row>
        <row r="571">
          <cell r="D571" t="str">
            <v>Jim Dowd</v>
          </cell>
        </row>
        <row r="572">
          <cell r="B572">
            <v>27.73972602739726</v>
          </cell>
          <cell r="C572" t="str">
            <v>Car</v>
          </cell>
          <cell r="D572" t="str">
            <v>Dennis Seidenberg</v>
          </cell>
          <cell r="E572">
            <v>55</v>
          </cell>
          <cell r="F572">
            <v>4</v>
          </cell>
          <cell r="G572">
            <v>19</v>
          </cell>
        </row>
        <row r="573">
          <cell r="D573" t="str">
            <v>Claude Giroux</v>
          </cell>
          <cell r="E573">
            <v>24</v>
          </cell>
          <cell r="F573">
            <v>5</v>
          </cell>
          <cell r="G573">
            <v>7</v>
          </cell>
        </row>
        <row r="574">
          <cell r="B574">
            <v>22.03835616438356</v>
          </cell>
          <cell r="C574" t="str">
            <v>Phi</v>
          </cell>
          <cell r="D574" t="str">
            <v>Andreas Nodl</v>
          </cell>
          <cell r="E574">
            <v>5</v>
          </cell>
          <cell r="F574">
            <v>0</v>
          </cell>
          <cell r="G574">
            <v>1</v>
          </cell>
        </row>
        <row r="575">
          <cell r="D575" t="str">
            <v>Alexei Kaigordov</v>
          </cell>
        </row>
        <row r="576">
          <cell r="D576" t="str">
            <v>Mikkel Boedker</v>
          </cell>
          <cell r="E576">
            <v>65</v>
          </cell>
          <cell r="F576">
            <v>10</v>
          </cell>
          <cell r="G576">
            <v>15</v>
          </cell>
        </row>
        <row r="577">
          <cell r="D577" t="str">
            <v>Alex Bourret</v>
          </cell>
        </row>
        <row r="578">
          <cell r="D578" t="str">
            <v>Jani Rita</v>
          </cell>
        </row>
        <row r="579">
          <cell r="D579" t="str">
            <v>Konstantin Koltsov</v>
          </cell>
        </row>
        <row r="580">
          <cell r="D580" t="str">
            <v>Tomas Surovy</v>
          </cell>
        </row>
        <row r="581">
          <cell r="D581" t="str">
            <v>Ryan Vandenbussche</v>
          </cell>
        </row>
        <row r="582">
          <cell r="D582" t="str">
            <v>Kris Beech</v>
          </cell>
        </row>
        <row r="583">
          <cell r="D583" t="str">
            <v>Lasse Pirjeta</v>
          </cell>
        </row>
        <row r="584">
          <cell r="D584" t="str">
            <v>Janne Pesonen</v>
          </cell>
        </row>
        <row r="585">
          <cell r="D585" t="str">
            <v>Peter Bondra</v>
          </cell>
        </row>
        <row r="586">
          <cell r="D586" t="str">
            <v>Glen Wesley</v>
          </cell>
        </row>
        <row r="587">
          <cell r="D587" t="str">
            <v>Scott Mellanby</v>
          </cell>
        </row>
        <row r="588">
          <cell r="D588" t="str">
            <v>Joe Nieuwendyk</v>
          </cell>
        </row>
        <row r="589">
          <cell r="D589" t="str">
            <v>Pierre Turgeon</v>
          </cell>
        </row>
        <row r="590">
          <cell r="D590" t="str">
            <v>Zigmund Palffy</v>
          </cell>
        </row>
        <row r="591">
          <cell r="D591" t="str">
            <v>Steve Yzerman</v>
          </cell>
        </row>
        <row r="592">
          <cell r="D592" t="str">
            <v>Eric Desjardins</v>
          </cell>
        </row>
        <row r="593">
          <cell r="D593" t="str">
            <v>Luc Robitaille</v>
          </cell>
        </row>
        <row r="594">
          <cell r="D594" t="str">
            <v>Mario Lemieux</v>
          </cell>
        </row>
        <row r="595">
          <cell r="D595" t="str">
            <v>Keith Primeau</v>
          </cell>
        </row>
        <row r="596">
          <cell r="D596" t="str">
            <v>Brett Hull</v>
          </cell>
        </row>
        <row r="597">
          <cell r="D597" t="str">
            <v>Mark Messier</v>
          </cell>
        </row>
        <row r="598">
          <cell r="D598" t="str">
            <v>Vincent Damphousse</v>
          </cell>
        </row>
        <row r="599">
          <cell r="D599" t="str">
            <v>Ron Francis</v>
          </cell>
        </row>
        <row r="600">
          <cell r="D600" t="str">
            <v>Steve Konowalchuk</v>
          </cell>
        </row>
        <row r="601">
          <cell r="D601" t="str">
            <v>Dave Andreychuk</v>
          </cell>
        </row>
        <row r="602">
          <cell r="D602" t="str">
            <v>Donald Audette</v>
          </cell>
        </row>
        <row r="603">
          <cell r="D603" t="str">
            <v>Scott Stevens</v>
          </cell>
        </row>
        <row r="604">
          <cell r="D604" t="str">
            <v>Stephane Quintal</v>
          </cell>
        </row>
        <row r="605">
          <cell r="D605" t="str">
            <v>Al Macinnis</v>
          </cell>
        </row>
        <row r="606">
          <cell r="D606" t="str">
            <v>Pavel Bure</v>
          </cell>
        </row>
        <row r="607">
          <cell r="D607" t="str">
            <v>Robert Svehla</v>
          </cell>
        </row>
        <row r="608">
          <cell r="D608" t="str">
            <v>Ulf Dahlen</v>
          </cell>
        </row>
        <row r="609">
          <cell r="D609" t="str">
            <v>Doug Gilmour</v>
          </cell>
        </row>
        <row r="610">
          <cell r="D610" t="str">
            <v>Phil Housley</v>
          </cell>
        </row>
        <row r="611">
          <cell r="D611" t="str">
            <v>Stephane Richer</v>
          </cell>
        </row>
        <row r="612">
          <cell r="D612" t="str">
            <v>Steve Duchesne</v>
          </cell>
        </row>
        <row r="613">
          <cell r="D613" t="str">
            <v>Kevin Stevens</v>
          </cell>
        </row>
        <row r="614">
          <cell r="D614" t="str">
            <v>Alexei Semenov</v>
          </cell>
        </row>
        <row r="615">
          <cell r="D615" t="str">
            <v>Alyn Mccauley</v>
          </cell>
        </row>
        <row r="616">
          <cell r="D616" t="str">
            <v>Jim Fahey</v>
          </cell>
        </row>
        <row r="617">
          <cell r="D617" t="str">
            <v>Jamie McGinn</v>
          </cell>
        </row>
        <row r="618">
          <cell r="D618" t="str">
            <v>Lukas Kaspar</v>
          </cell>
        </row>
        <row r="619">
          <cell r="D619" t="str">
            <v>Eric Weinrich</v>
          </cell>
        </row>
        <row r="620">
          <cell r="D620" t="str">
            <v>Jay McKee</v>
          </cell>
        </row>
        <row r="621">
          <cell r="D621" t="str">
            <v>Peter Sejna</v>
          </cell>
        </row>
        <row r="622">
          <cell r="D622" t="str">
            <v>T.J. Oshie</v>
          </cell>
          <cell r="E622">
            <v>40</v>
          </cell>
          <cell r="F622">
            <v>9</v>
          </cell>
          <cell r="G622">
            <v>15</v>
          </cell>
        </row>
        <row r="623">
          <cell r="D623" t="str">
            <v>Alex Pietrangelo</v>
          </cell>
          <cell r="E623">
            <v>8</v>
          </cell>
          <cell r="G623">
            <v>1</v>
          </cell>
        </row>
        <row r="624">
          <cell r="D624" t="str">
            <v>Andrew Hutchison</v>
          </cell>
        </row>
        <row r="625">
          <cell r="D625" t="str">
            <v>Steven Stamkos</v>
          </cell>
          <cell r="E625">
            <v>63</v>
          </cell>
          <cell r="F625">
            <v>14</v>
          </cell>
          <cell r="G625">
            <v>18</v>
          </cell>
        </row>
        <row r="626">
          <cell r="D626" t="str">
            <v>Janne Niskala</v>
          </cell>
        </row>
        <row r="627">
          <cell r="D627" t="str">
            <v>Carlo Colaiacovo</v>
          </cell>
        </row>
        <row r="628">
          <cell r="B628">
            <v>19.35890410958904</v>
          </cell>
          <cell r="C628" t="str">
            <v>Tor</v>
          </cell>
          <cell r="D628" t="str">
            <v>Luke Schenn</v>
          </cell>
          <cell r="E628">
            <v>54</v>
          </cell>
          <cell r="F628">
            <v>1</v>
          </cell>
          <cell r="G628">
            <v>5</v>
          </cell>
        </row>
        <row r="629">
          <cell r="D629" t="str">
            <v>Nikolai Kulemin</v>
          </cell>
          <cell r="E629">
            <v>59</v>
          </cell>
          <cell r="F629">
            <v>10</v>
          </cell>
          <cell r="G629">
            <v>12</v>
          </cell>
        </row>
        <row r="630">
          <cell r="D630" t="str">
            <v>Matt Cooke</v>
          </cell>
        </row>
        <row r="631">
          <cell r="D631" t="str">
            <v>Magnus Arvedson</v>
          </cell>
        </row>
        <row r="632">
          <cell r="D632" t="str">
            <v>Cody Hodgson</v>
          </cell>
        </row>
        <row r="633">
          <cell r="D633" t="str">
            <v>Brian Willsie</v>
          </cell>
        </row>
        <row r="634">
          <cell r="D634" t="str">
            <v>Darcy Verot</v>
          </cell>
        </row>
        <row r="635">
          <cell r="D635" t="str">
            <v>Sergei Berezin</v>
          </cell>
        </row>
        <row r="636">
          <cell r="D636" t="str">
            <v>Ben Clymer</v>
          </cell>
        </row>
        <row r="637">
          <cell r="D637" t="str">
            <v>Andrei Nikolishin</v>
          </cell>
        </row>
        <row r="638">
          <cell r="D638" t="str">
            <v>Shane Willis</v>
          </cell>
        </row>
        <row r="639">
          <cell r="D639" t="str">
            <v>Anson Carter</v>
          </cell>
        </row>
        <row r="640">
          <cell r="D640" t="str">
            <v>Steve Rucchin</v>
          </cell>
        </row>
        <row r="641">
          <cell r="D641" t="str">
            <v>Eric Lindros</v>
          </cell>
        </row>
        <row r="642">
          <cell r="D642" t="str">
            <v>Mark Mowers</v>
          </cell>
        </row>
        <row r="643">
          <cell r="D643" t="str">
            <v>Shean Donovan</v>
          </cell>
        </row>
        <row r="644">
          <cell r="D644" t="str">
            <v>Tony Salmelainen</v>
          </cell>
        </row>
        <row r="645">
          <cell r="D645" t="str">
            <v>Nils Ekman</v>
          </cell>
        </row>
        <row r="646">
          <cell r="D646" t="str">
            <v>Oleg Tverdovsky</v>
          </cell>
        </row>
        <row r="647">
          <cell r="D647" t="str">
            <v>Sandis Ozolinsh</v>
          </cell>
        </row>
        <row r="648">
          <cell r="D648" t="str">
            <v>Ethan Moreau</v>
          </cell>
        </row>
        <row r="649">
          <cell r="D649" t="str">
            <v>Jan Bulis</v>
          </cell>
        </row>
        <row r="650">
          <cell r="D650" t="str">
            <v>Niko Dimitrakos</v>
          </cell>
        </row>
        <row r="651">
          <cell r="D651" t="str">
            <v>Freddy Meyer</v>
          </cell>
        </row>
        <row r="652">
          <cell r="D652" t="str">
            <v>Trevor Linden</v>
          </cell>
        </row>
        <row r="653">
          <cell r="D653" t="str">
            <v>Wes Waltz</v>
          </cell>
        </row>
        <row r="654">
          <cell r="D654" t="str">
            <v>Tony Amonte</v>
          </cell>
        </row>
        <row r="655">
          <cell r="D655" t="str">
            <v>Alexei Zhamnov</v>
          </cell>
        </row>
        <row r="656">
          <cell r="D656" t="str">
            <v>Patrice Brisebois</v>
          </cell>
        </row>
        <row r="657">
          <cell r="D657" t="str">
            <v>Nathan Dempsey</v>
          </cell>
        </row>
        <row r="658">
          <cell r="D658" t="str">
            <v>Yannick Tremblay</v>
          </cell>
        </row>
        <row r="659">
          <cell r="D659" t="str">
            <v>Vaclav Varada</v>
          </cell>
        </row>
        <row r="660">
          <cell r="D660" t="str">
            <v>Mike Leclerc</v>
          </cell>
        </row>
        <row r="661">
          <cell r="D661" t="str">
            <v>David Tanabe</v>
          </cell>
        </row>
        <row r="662">
          <cell r="D662" t="str">
            <v>Patrik Stefan</v>
          </cell>
        </row>
        <row r="663">
          <cell r="D663" t="str">
            <v>Brandon Reid</v>
          </cell>
        </row>
        <row r="664">
          <cell r="D664" t="str">
            <v>Pavel Brendl</v>
          </cell>
        </row>
        <row r="665">
          <cell r="D665" t="str">
            <v>Jozef Balej</v>
          </cell>
        </row>
        <row r="666">
          <cell r="D666" t="str">
            <v>Pavel Vorobiev</v>
          </cell>
        </row>
        <row r="667">
          <cell r="D667" t="str">
            <v>Jarko Immonen</v>
          </cell>
        </row>
        <row r="668">
          <cell r="D668" t="str">
            <v>Jason Allison</v>
          </cell>
        </row>
        <row r="669">
          <cell r="D669" t="str">
            <v>Mike Johnson</v>
          </cell>
        </row>
        <row r="670">
          <cell r="D670" t="str">
            <v>John Leclair</v>
          </cell>
        </row>
        <row r="671">
          <cell r="D671" t="str">
            <v>Scott Young</v>
          </cell>
        </row>
        <row r="672">
          <cell r="D672" t="str">
            <v>Randy Robitaille</v>
          </cell>
        </row>
        <row r="673">
          <cell r="D673" t="str">
            <v>Jeff O'Neill</v>
          </cell>
        </row>
        <row r="674">
          <cell r="D674" t="str">
            <v>Brian Leetch</v>
          </cell>
        </row>
        <row r="675">
          <cell r="D675" t="str">
            <v>Ric Jackman</v>
          </cell>
        </row>
        <row r="676">
          <cell r="D676" t="str">
            <v>Alexander Mogilny</v>
          </cell>
        </row>
        <row r="677">
          <cell r="D677" t="str">
            <v>Jiri Slegr</v>
          </cell>
        </row>
        <row r="678">
          <cell r="D678" t="str">
            <v>Janne Niinimaa</v>
          </cell>
        </row>
        <row r="679">
          <cell r="D679" t="str">
            <v>Andrew Cassels</v>
          </cell>
        </row>
        <row r="680">
          <cell r="D680" t="str">
            <v>Andy Roach</v>
          </cell>
        </row>
        <row r="681">
          <cell r="D681" t="str">
            <v>Valeri Bure</v>
          </cell>
        </row>
        <row r="682">
          <cell r="D682" t="str">
            <v>Eric Daze</v>
          </cell>
        </row>
        <row r="683">
          <cell r="D683" t="str">
            <v>Alexandre Daigle</v>
          </cell>
        </row>
        <row r="684">
          <cell r="D684" t="str">
            <v>Oleg Kvasha</v>
          </cell>
        </row>
        <row r="685">
          <cell r="D685" t="str">
            <v>Mariusz Czerkawski</v>
          </cell>
        </row>
        <row r="686">
          <cell r="D686" t="str">
            <v>Alexander Korolyuk</v>
          </cell>
        </row>
        <row r="687">
          <cell r="D687" t="str">
            <v>Jeff Friesen</v>
          </cell>
        </row>
        <row r="688">
          <cell r="D688" t="str">
            <v>Vladimir Orszagh</v>
          </cell>
        </row>
        <row r="689">
          <cell r="D689" t="str">
            <v>Dallas Drake</v>
          </cell>
        </row>
        <row r="690">
          <cell r="D690" t="str">
            <v>Rico Fata</v>
          </cell>
        </row>
        <row r="691">
          <cell r="D691" t="str">
            <v>Jan Hrdina</v>
          </cell>
        </row>
        <row r="692">
          <cell r="D692" t="str">
            <v>Brian Savage</v>
          </cell>
        </row>
        <row r="693">
          <cell r="D693" t="str">
            <v>Jonas Hoglund</v>
          </cell>
        </row>
        <row r="694">
          <cell r="D694" t="str">
            <v>Kip Miller</v>
          </cell>
        </row>
        <row r="695">
          <cell r="D695" t="str">
            <v>Sergei Zholtok</v>
          </cell>
        </row>
        <row r="696">
          <cell r="D696" t="str">
            <v>Ronald Petrovicky</v>
          </cell>
        </row>
        <row r="697">
          <cell r="D697" t="str">
            <v>Robert Reichel</v>
          </cell>
        </row>
        <row r="698">
          <cell r="D698" t="str">
            <v>Kenny Jonsson</v>
          </cell>
        </row>
        <row r="699">
          <cell r="D699" t="str">
            <v>Dan Mcgillis</v>
          </cell>
        </row>
        <row r="700">
          <cell r="D700" t="str">
            <v>Pierre Dagenais</v>
          </cell>
        </row>
        <row r="701">
          <cell r="D701" t="str">
            <v>Mike Ricci</v>
          </cell>
        </row>
        <row r="702">
          <cell r="D702" t="str">
            <v>Mikael Renberg</v>
          </cell>
        </row>
        <row r="703">
          <cell r="D703" t="str">
            <v>Dave Scatchard</v>
          </cell>
        </row>
        <row r="704">
          <cell r="D704" t="str">
            <v>Serge Aubin</v>
          </cell>
        </row>
        <row r="705">
          <cell r="D705" t="str">
            <v>Cliff Ronning</v>
          </cell>
        </row>
        <row r="706">
          <cell r="D706" t="str">
            <v>Jonathan Girard</v>
          </cell>
        </row>
        <row r="707">
          <cell r="D707" t="str">
            <v>Jason King</v>
          </cell>
        </row>
        <row r="708">
          <cell r="D708" t="str">
            <v>Cory Cross</v>
          </cell>
        </row>
        <row r="709">
          <cell r="D709" t="str">
            <v>Radoslav Suchy</v>
          </cell>
        </row>
        <row r="710">
          <cell r="D710" t="str">
            <v>Ville Nieminen</v>
          </cell>
        </row>
        <row r="711">
          <cell r="D711" t="str">
            <v>Jason Woolley</v>
          </cell>
        </row>
        <row r="712">
          <cell r="D712" t="str">
            <v>Danny Markov</v>
          </cell>
        </row>
        <row r="713">
          <cell r="D713" t="str">
            <v>Jiri Fischer</v>
          </cell>
        </row>
        <row r="714">
          <cell r="D714" t="str">
            <v>Vladimir Malakhov</v>
          </cell>
        </row>
        <row r="715">
          <cell r="D715" t="str">
            <v>Jeff Taffe</v>
          </cell>
        </row>
        <row r="716">
          <cell r="D716" t="str">
            <v>Adam Oates</v>
          </cell>
        </row>
        <row r="717">
          <cell r="D717" t="str">
            <v>Tyler Wrignt</v>
          </cell>
        </row>
        <row r="718">
          <cell r="D718" t="str">
            <v>Jeff Jillson</v>
          </cell>
        </row>
        <row r="719">
          <cell r="D719" t="str">
            <v>Tom Fitzgerald</v>
          </cell>
        </row>
        <row r="720">
          <cell r="D720" t="str">
            <v>Lubos Bartecko</v>
          </cell>
        </row>
        <row r="721">
          <cell r="D721" t="str">
            <v>Boris Mironov</v>
          </cell>
        </row>
        <row r="722">
          <cell r="D722" t="str">
            <v>Marcus Ragnarsson</v>
          </cell>
        </row>
        <row r="723">
          <cell r="D723" t="str">
            <v>Jason York</v>
          </cell>
        </row>
        <row r="724">
          <cell r="D724" t="str">
            <v>Mattias Norstrom</v>
          </cell>
        </row>
        <row r="725">
          <cell r="D725" t="str">
            <v>Mathieu Biron</v>
          </cell>
        </row>
        <row r="726">
          <cell r="D726" t="str">
            <v>Chris Taylor</v>
          </cell>
        </row>
        <row r="727">
          <cell r="D727" t="str">
            <v>Igor Radulov</v>
          </cell>
        </row>
        <row r="728">
          <cell r="D728" t="str">
            <v>Deron Quint</v>
          </cell>
        </row>
        <row r="729">
          <cell r="D729" t="str">
            <v>Rory Fitzpatrick</v>
          </cell>
        </row>
        <row r="730">
          <cell r="D730" t="str">
            <v>Eric Boguniecki</v>
          </cell>
        </row>
        <row r="731">
          <cell r="D731" t="str">
            <v>Alexander Khavanov</v>
          </cell>
        </row>
        <row r="732">
          <cell r="D732" t="str">
            <v>Jamie Lundmark</v>
          </cell>
        </row>
        <row r="733">
          <cell r="D733" t="str">
            <v>Garnett Exelby</v>
          </cell>
        </row>
        <row r="734">
          <cell r="D734" t="str">
            <v>Eric Cairns</v>
          </cell>
        </row>
        <row r="735">
          <cell r="D735" t="str">
            <v>Matt Johnson</v>
          </cell>
        </row>
        <row r="736">
          <cell r="D736" t="str">
            <v>Vaclav Nedorost</v>
          </cell>
        </row>
        <row r="737">
          <cell r="D737" t="str">
            <v>Andy Delmore</v>
          </cell>
        </row>
        <row r="738">
          <cell r="D738" t="str">
            <v>Branislav Mezei</v>
          </cell>
        </row>
        <row r="739">
          <cell r="D739" t="str">
            <v>Adam Mair</v>
          </cell>
        </row>
        <row r="740">
          <cell r="D740" t="str">
            <v>Jiri Dopita</v>
          </cell>
        </row>
        <row r="741">
          <cell r="D741" t="str">
            <v>Chris Dingman</v>
          </cell>
        </row>
        <row r="742">
          <cell r="D742" t="str">
            <v>Calle Johansson</v>
          </cell>
        </row>
        <row r="743">
          <cell r="D743" t="str">
            <v>Espen Knutsen</v>
          </cell>
        </row>
        <row r="744">
          <cell r="D744" t="str">
            <v>Joroslav Svoboda</v>
          </cell>
        </row>
        <row r="745">
          <cell r="D745" t="str">
            <v>Scott Lachance</v>
          </cell>
        </row>
        <row r="746">
          <cell r="D746" t="str">
            <v>Kamil Piros</v>
          </cell>
        </row>
        <row r="747">
          <cell r="D747" t="str">
            <v>Eero Somervuori</v>
          </cell>
        </row>
        <row r="748">
          <cell r="D748" t="str">
            <v>Igor Larionov</v>
          </cell>
        </row>
        <row r="749">
          <cell r="D749" t="str">
            <v>Andreas Johansson</v>
          </cell>
        </row>
        <row r="750">
          <cell r="D750" t="str">
            <v>Rem Murray</v>
          </cell>
        </row>
        <row r="751">
          <cell r="D751" t="str">
            <v>Oleg Petrov</v>
          </cell>
        </row>
        <row r="752">
          <cell r="D752" t="str">
            <v>Niklas Sundstrom</v>
          </cell>
        </row>
        <row r="753">
          <cell r="D753" t="str">
            <v>Claude Lemieux</v>
          </cell>
        </row>
        <row r="754">
          <cell r="D754" t="str">
            <v>Ray Ferraro</v>
          </cell>
        </row>
        <row r="755">
          <cell r="D755" t="str">
            <v>Joe Juneau</v>
          </cell>
        </row>
        <row r="756">
          <cell r="D756" t="str">
            <v>Krystopher Kolanos</v>
          </cell>
        </row>
        <row r="757">
          <cell r="D757" t="str">
            <v>Jamie Heward</v>
          </cell>
        </row>
        <row r="758">
          <cell r="D758" t="str">
            <v>Richard Matvichuk</v>
          </cell>
        </row>
        <row r="759">
          <cell r="D759" t="str">
            <v>Krysztof Oliwa</v>
          </cell>
        </row>
        <row r="760">
          <cell r="D760" t="str">
            <v>Jason Marshall</v>
          </cell>
        </row>
        <row r="761">
          <cell r="D761" t="str">
            <v>Erik Rasmussen</v>
          </cell>
        </row>
        <row r="762">
          <cell r="D762" t="str">
            <v>Darren Langdon</v>
          </cell>
        </row>
        <row r="763">
          <cell r="D763" t="str">
            <v>Scott Clemmensen</v>
          </cell>
        </row>
        <row r="764">
          <cell r="D764" t="str">
            <v>Roman Voloshenko</v>
          </cell>
        </row>
        <row r="765">
          <cell r="D765" t="str">
            <v>Igor Grigorenko</v>
          </cell>
        </row>
        <row r="766">
          <cell r="D766" t="str">
            <v>Max Pacioretty</v>
          </cell>
          <cell r="E766">
            <v>28</v>
          </cell>
          <cell r="F766">
            <v>3</v>
          </cell>
          <cell r="G766">
            <v>7</v>
          </cell>
        </row>
        <row r="767">
          <cell r="D767" t="str">
            <v>Ben Maxwell</v>
          </cell>
        </row>
        <row r="768">
          <cell r="D768" t="str">
            <v>Alex Goligoski</v>
          </cell>
          <cell r="E768">
            <v>45</v>
          </cell>
          <cell r="F768">
            <v>6</v>
          </cell>
          <cell r="G768">
            <v>14</v>
          </cell>
        </row>
        <row r="769">
          <cell r="D769" t="str">
            <v>Mikael Backlund</v>
          </cell>
          <cell r="E769">
            <v>1</v>
          </cell>
        </row>
        <row r="770">
          <cell r="B770">
            <v>24.235616438356164</v>
          </cell>
          <cell r="C770" t="str">
            <v>L.A.</v>
          </cell>
          <cell r="D770" t="str">
            <v>Brian Boyle</v>
          </cell>
          <cell r="E770">
            <v>14</v>
          </cell>
          <cell r="F770">
            <v>1</v>
          </cell>
        </row>
        <row r="771">
          <cell r="D771" t="str">
            <v>Patrik Berglund</v>
          </cell>
          <cell r="E771">
            <v>60</v>
          </cell>
          <cell r="F771">
            <v>17</v>
          </cell>
          <cell r="G771">
            <v>22</v>
          </cell>
        </row>
        <row r="772">
          <cell r="D772" t="str">
            <v>Dan Girardi</v>
          </cell>
          <cell r="E772">
            <v>66</v>
          </cell>
          <cell r="F772">
            <v>3</v>
          </cell>
          <cell r="G772">
            <v>13</v>
          </cell>
        </row>
        <row r="773">
          <cell r="B773">
            <v>25.767123287671232</v>
          </cell>
          <cell r="C773" t="str">
            <v>L.A.</v>
          </cell>
          <cell r="D773" t="str">
            <v>Peter Harrold</v>
          </cell>
          <cell r="E773">
            <v>41</v>
          </cell>
          <cell r="F773">
            <v>3</v>
          </cell>
          <cell r="G773">
            <v>8</v>
          </cell>
        </row>
        <row r="774">
          <cell r="D774" t="str">
            <v>Keith Yandle</v>
          </cell>
          <cell r="E774">
            <v>54</v>
          </cell>
          <cell r="F774">
            <v>4</v>
          </cell>
          <cell r="G774">
            <v>22</v>
          </cell>
        </row>
        <row r="775">
          <cell r="B775">
            <v>24.301369863013697</v>
          </cell>
          <cell r="C775" t="str">
            <v>Fla</v>
          </cell>
          <cell r="D775" t="str">
            <v>David Booth</v>
          </cell>
          <cell r="E775">
            <v>56</v>
          </cell>
          <cell r="F775">
            <v>24</v>
          </cell>
          <cell r="G775">
            <v>18</v>
          </cell>
        </row>
        <row r="776">
          <cell r="B776">
            <v>24.405479452054795</v>
          </cell>
          <cell r="C776" t="str">
            <v>Wsh</v>
          </cell>
          <cell r="D776" t="str">
            <v>Sami Lepisto</v>
          </cell>
          <cell r="E776">
            <v>7</v>
          </cell>
          <cell r="F776">
            <v>0</v>
          </cell>
          <cell r="G776">
            <v>4</v>
          </cell>
        </row>
        <row r="777">
          <cell r="D777" t="str">
            <v>Jonathan Ericsson</v>
          </cell>
          <cell r="E777">
            <v>0</v>
          </cell>
        </row>
        <row r="778">
          <cell r="D778" t="str">
            <v>Brian Salcido</v>
          </cell>
          <cell r="E778">
            <v>2</v>
          </cell>
          <cell r="G778">
            <v>1</v>
          </cell>
        </row>
        <row r="779">
          <cell r="D779" t="str">
            <v>Petri Kontiola</v>
          </cell>
          <cell r="E779">
            <v>0</v>
          </cell>
        </row>
        <row r="780">
          <cell r="D780" t="str">
            <v>Viktor Tikhonov</v>
          </cell>
          <cell r="E780">
            <v>49</v>
          </cell>
          <cell r="F780">
            <v>7</v>
          </cell>
          <cell r="G780">
            <v>6</v>
          </cell>
        </row>
        <row r="781">
          <cell r="D781" t="str">
            <v>James Sheppard</v>
          </cell>
          <cell r="E781">
            <v>65</v>
          </cell>
          <cell r="F781">
            <v>4</v>
          </cell>
          <cell r="G781">
            <v>12</v>
          </cell>
        </row>
        <row r="782">
          <cell r="D782" t="str">
            <v>Mason Raymond</v>
          </cell>
          <cell r="E782">
            <v>57</v>
          </cell>
          <cell r="F782">
            <v>9</v>
          </cell>
          <cell r="G782">
            <v>11</v>
          </cell>
        </row>
        <row r="783">
          <cell r="D783" t="str">
            <v>Karl Alzner</v>
          </cell>
          <cell r="E783">
            <v>30</v>
          </cell>
          <cell r="F783">
            <v>1</v>
          </cell>
          <cell r="G783">
            <v>4</v>
          </cell>
        </row>
        <row r="784">
          <cell r="D784" t="str">
            <v>David Bolland</v>
          </cell>
          <cell r="E784">
            <v>64</v>
          </cell>
          <cell r="F784">
            <v>15</v>
          </cell>
          <cell r="G784">
            <v>24</v>
          </cell>
        </row>
        <row r="785">
          <cell r="B785">
            <v>22.616438356164384</v>
          </cell>
          <cell r="C785" t="str">
            <v>Tor</v>
          </cell>
          <cell r="D785" t="str">
            <v>Anton Stralman</v>
          </cell>
          <cell r="E785">
            <v>21</v>
          </cell>
          <cell r="F785">
            <v>1</v>
          </cell>
          <cell r="G785">
            <v>6</v>
          </cell>
        </row>
        <row r="786">
          <cell r="D786" t="str">
            <v>Antti Pihlstrom</v>
          </cell>
          <cell r="E786">
            <v>0</v>
          </cell>
        </row>
        <row r="787">
          <cell r="D787" t="str">
            <v>Blake Wheeler</v>
          </cell>
          <cell r="E787">
            <v>66</v>
          </cell>
          <cell r="F787">
            <v>17</v>
          </cell>
          <cell r="G787">
            <v>21</v>
          </cell>
        </row>
        <row r="788">
          <cell r="B788">
            <v>20.136986301369863</v>
          </cell>
          <cell r="C788" t="str">
            <v>L.A.</v>
          </cell>
          <cell r="D788" t="str">
            <v>Oscar Moller</v>
          </cell>
          <cell r="E788">
            <v>34</v>
          </cell>
          <cell r="F788">
            <v>7</v>
          </cell>
          <cell r="G788">
            <v>7</v>
          </cell>
        </row>
        <row r="789">
          <cell r="B789">
            <v>25.443835616438356</v>
          </cell>
          <cell r="C789" t="str">
            <v>Ott</v>
          </cell>
          <cell r="D789" t="str">
            <v>Jesse Winchester</v>
          </cell>
          <cell r="E789">
            <v>12</v>
          </cell>
          <cell r="F789">
            <v>0</v>
          </cell>
          <cell r="G789">
            <v>2</v>
          </cell>
        </row>
        <row r="790">
          <cell r="B790">
            <v>24.583561643835615</v>
          </cell>
          <cell r="C790" t="str">
            <v>N.J.</v>
          </cell>
          <cell r="D790" t="str">
            <v>Anssi Salmela</v>
          </cell>
          <cell r="E790">
            <v>17</v>
          </cell>
          <cell r="F790">
            <v>0</v>
          </cell>
          <cell r="G790">
            <v>3</v>
          </cell>
        </row>
        <row r="791">
          <cell r="B791">
            <v>22.835616438356166</v>
          </cell>
          <cell r="C791" t="str">
            <v>Chi</v>
          </cell>
          <cell r="D791" t="str">
            <v>Kris Versteeg</v>
          </cell>
          <cell r="E791">
            <v>61</v>
          </cell>
          <cell r="F791">
            <v>17</v>
          </cell>
          <cell r="G791">
            <v>28</v>
          </cell>
        </row>
        <row r="792">
          <cell r="B792">
            <v>22.627397260273973</v>
          </cell>
          <cell r="C792" t="str">
            <v>Nyr</v>
          </cell>
          <cell r="D792" t="str">
            <v>Lauri Korpikoski</v>
          </cell>
          <cell r="E792">
            <v>52</v>
          </cell>
          <cell r="F792">
            <v>6</v>
          </cell>
          <cell r="G792">
            <v>8</v>
          </cell>
        </row>
        <row r="793">
          <cell r="B793">
            <v>27.7013698630137</v>
          </cell>
          <cell r="C793" t="str">
            <v>Nyr</v>
          </cell>
          <cell r="D793" t="str">
            <v>Aaron Voros</v>
          </cell>
          <cell r="E793">
            <v>53</v>
          </cell>
          <cell r="F793">
            <v>8</v>
          </cell>
          <cell r="G793">
            <v>7</v>
          </cell>
        </row>
        <row r="794">
          <cell r="B794">
            <v>23.005479452054793</v>
          </cell>
          <cell r="C794" t="str">
            <v>Phx</v>
          </cell>
          <cell r="D794" t="str">
            <v>Kevin Porter</v>
          </cell>
          <cell r="E794">
            <v>34</v>
          </cell>
          <cell r="F794">
            <v>5</v>
          </cell>
          <cell r="G794">
            <v>5</v>
          </cell>
        </row>
        <row r="795">
          <cell r="B795">
            <v>21.526027397260275</v>
          </cell>
          <cell r="C795" t="str">
            <v>Dal</v>
          </cell>
          <cell r="D795" t="str">
            <v>James Neal</v>
          </cell>
          <cell r="E795">
            <v>61</v>
          </cell>
          <cell r="F795">
            <v>21</v>
          </cell>
          <cell r="G795">
            <v>11</v>
          </cell>
        </row>
        <row r="796">
          <cell r="B796">
            <v>23.586301369863012</v>
          </cell>
          <cell r="C796" t="str">
            <v>L.A.</v>
          </cell>
          <cell r="D796" t="str">
            <v>Kyle Quincey</v>
          </cell>
          <cell r="E796">
            <v>62</v>
          </cell>
          <cell r="F796">
            <v>4</v>
          </cell>
          <cell r="G796">
            <v>33</v>
          </cell>
        </row>
        <row r="797">
          <cell r="B797">
            <v>22.997260273972604</v>
          </cell>
          <cell r="C797" t="str">
            <v>Van</v>
          </cell>
          <cell r="D797" t="str">
            <v>Jannik Hansen</v>
          </cell>
          <cell r="E797">
            <v>52</v>
          </cell>
          <cell r="F797">
            <v>6</v>
          </cell>
          <cell r="G797">
            <v>15</v>
          </cell>
        </row>
        <row r="798">
          <cell r="B798">
            <v>19.115068493150684</v>
          </cell>
          <cell r="C798" t="str">
            <v>Phi</v>
          </cell>
          <cell r="D798" t="str">
            <v>Luca Sbisa</v>
          </cell>
          <cell r="E798">
            <v>39</v>
          </cell>
          <cell r="F798">
            <v>0</v>
          </cell>
          <cell r="G798">
            <v>7</v>
          </cell>
        </row>
        <row r="799">
          <cell r="B799">
            <v>24.13972602739726</v>
          </cell>
          <cell r="C799" t="str">
            <v>Tor</v>
          </cell>
          <cell r="D799" t="str">
            <v>John Mitchell</v>
          </cell>
          <cell r="E799">
            <v>24</v>
          </cell>
          <cell r="F799">
            <v>2</v>
          </cell>
          <cell r="G799">
            <v>5</v>
          </cell>
        </row>
        <row r="800">
          <cell r="B800">
            <v>24.745205479452054</v>
          </cell>
          <cell r="C800" t="str">
            <v>Nsh</v>
          </cell>
          <cell r="D800" t="str">
            <v>Ryan Jones</v>
          </cell>
          <cell r="E800">
            <v>38</v>
          </cell>
          <cell r="F800">
            <v>6</v>
          </cell>
          <cell r="G800">
            <v>9</v>
          </cell>
        </row>
        <row r="801">
          <cell r="B801">
            <v>26.21095890410959</v>
          </cell>
          <cell r="C801" t="str">
            <v>Cgy</v>
          </cell>
          <cell r="D801" t="str">
            <v>Curtis Glencross</v>
          </cell>
          <cell r="E801">
            <v>60</v>
          </cell>
          <cell r="F801">
            <v>10</v>
          </cell>
          <cell r="G801">
            <v>24</v>
          </cell>
        </row>
        <row r="802">
          <cell r="B802">
            <v>22.893150684931506</v>
          </cell>
          <cell r="C802" t="str">
            <v>Phx</v>
          </cell>
          <cell r="D802" t="str">
            <v>Enver Lisin</v>
          </cell>
          <cell r="E802">
            <v>44</v>
          </cell>
          <cell r="F802">
            <v>10</v>
          </cell>
          <cell r="G802">
            <v>7</v>
          </cell>
        </row>
        <row r="803">
          <cell r="B803">
            <v>23.813698630136987</v>
          </cell>
          <cell r="C803" t="str">
            <v>Bos</v>
          </cell>
          <cell r="D803" t="str">
            <v>Matt Hunwick</v>
          </cell>
          <cell r="E803">
            <v>42</v>
          </cell>
          <cell r="F803">
            <v>5</v>
          </cell>
          <cell r="G803">
            <v>14</v>
          </cell>
        </row>
        <row r="804">
          <cell r="B804">
            <v>19.747945205479454</v>
          </cell>
          <cell r="C804" t="str">
            <v>Mtl</v>
          </cell>
          <cell r="D804" t="str">
            <v>Ryan Mcdonagh</v>
          </cell>
        </row>
        <row r="805">
          <cell r="B805">
            <v>20.46849315068493</v>
          </cell>
          <cell r="C805" t="str">
            <v>Mtl</v>
          </cell>
          <cell r="D805" t="str">
            <v>Yannick Weber</v>
          </cell>
          <cell r="E805">
            <v>1</v>
          </cell>
        </row>
        <row r="806">
          <cell r="D806" t="str">
            <v>James VanRiemsdyk</v>
          </cell>
        </row>
        <row r="807">
          <cell r="D807" t="str">
            <v>Andrew Ebbett</v>
          </cell>
          <cell r="E807">
            <v>33</v>
          </cell>
          <cell r="F807">
            <v>4</v>
          </cell>
          <cell r="G807">
            <v>18</v>
          </cell>
        </row>
      </sheetData>
      <sheetData sheetId="1">
        <row r="5">
          <cell r="D5" t="str">
            <v>Evgeni Nabokov</v>
          </cell>
          <cell r="E5">
            <v>47</v>
          </cell>
          <cell r="F5">
            <v>32</v>
          </cell>
          <cell r="G5">
            <v>7</v>
          </cell>
          <cell r="H5">
            <v>5</v>
          </cell>
          <cell r="I5">
            <v>0</v>
          </cell>
          <cell r="J5">
            <v>0</v>
          </cell>
          <cell r="K5">
            <v>91</v>
          </cell>
        </row>
        <row r="6">
          <cell r="D6" t="str">
            <v>Henrik Lundqvist</v>
          </cell>
          <cell r="E6">
            <v>56</v>
          </cell>
          <cell r="F6">
            <v>29</v>
          </cell>
          <cell r="G6">
            <v>7</v>
          </cell>
          <cell r="H6">
            <v>2</v>
          </cell>
          <cell r="I6">
            <v>0</v>
          </cell>
          <cell r="J6">
            <v>2</v>
          </cell>
          <cell r="K6">
            <v>75</v>
          </cell>
        </row>
        <row r="7">
          <cell r="D7" t="str">
            <v>Martin Brodeur</v>
          </cell>
          <cell r="E7">
            <v>15</v>
          </cell>
          <cell r="F7">
            <v>10</v>
          </cell>
          <cell r="G7">
            <v>2</v>
          </cell>
          <cell r="H7">
            <v>4</v>
          </cell>
          <cell r="I7">
            <v>0</v>
          </cell>
          <cell r="J7">
            <v>0</v>
          </cell>
          <cell r="K7">
            <v>38</v>
          </cell>
        </row>
        <row r="8">
          <cell r="D8" t="str">
            <v>Roberto Luongo</v>
          </cell>
          <cell r="E8">
            <v>37</v>
          </cell>
          <cell r="F8">
            <v>23</v>
          </cell>
          <cell r="G8">
            <v>5</v>
          </cell>
          <cell r="H8">
            <v>5</v>
          </cell>
          <cell r="I8">
            <v>0</v>
          </cell>
          <cell r="J8">
            <v>1</v>
          </cell>
          <cell r="K8">
            <v>72</v>
          </cell>
        </row>
        <row r="9">
          <cell r="D9" t="str">
            <v>Miikaa Kiprusoff</v>
          </cell>
          <cell r="E9">
            <v>61</v>
          </cell>
          <cell r="F9">
            <v>39</v>
          </cell>
          <cell r="G9">
            <v>5</v>
          </cell>
          <cell r="H9">
            <v>4</v>
          </cell>
          <cell r="I9">
            <v>0</v>
          </cell>
          <cell r="J9">
            <v>2</v>
          </cell>
          <cell r="K9">
            <v>101</v>
          </cell>
        </row>
        <row r="10">
          <cell r="D10" t="str">
            <v>Cam Ward</v>
          </cell>
          <cell r="E10">
            <v>54</v>
          </cell>
          <cell r="F10">
            <v>29</v>
          </cell>
          <cell r="G10">
            <v>3</v>
          </cell>
          <cell r="H10">
            <v>4</v>
          </cell>
          <cell r="K10">
            <v>77</v>
          </cell>
        </row>
        <row r="11">
          <cell r="D11" t="str">
            <v>Ryan Miller</v>
          </cell>
          <cell r="E11">
            <v>51</v>
          </cell>
          <cell r="F11">
            <v>29</v>
          </cell>
          <cell r="G11">
            <v>5</v>
          </cell>
          <cell r="H11">
            <v>5</v>
          </cell>
          <cell r="K11">
            <v>83</v>
          </cell>
        </row>
        <row r="12">
          <cell r="D12" t="str">
            <v>Pascal Leclaire</v>
          </cell>
          <cell r="E12">
            <v>12</v>
          </cell>
          <cell r="F12">
            <v>4</v>
          </cell>
          <cell r="G12">
            <v>1</v>
          </cell>
          <cell r="J12">
            <v>1</v>
          </cell>
          <cell r="K12">
            <v>10</v>
          </cell>
        </row>
        <row r="13">
          <cell r="D13" t="str">
            <v>Jean-Sebastien Giguere</v>
          </cell>
          <cell r="E13">
            <v>42</v>
          </cell>
          <cell r="F13">
            <v>17</v>
          </cell>
          <cell r="G13">
            <v>5</v>
          </cell>
          <cell r="H13">
            <v>2</v>
          </cell>
          <cell r="I13">
            <v>0</v>
          </cell>
          <cell r="J13">
            <v>0</v>
          </cell>
          <cell r="K13">
            <v>47</v>
          </cell>
        </row>
        <row r="14">
          <cell r="D14" t="str">
            <v>Niklas Backstrom</v>
          </cell>
          <cell r="E14">
            <v>55</v>
          </cell>
          <cell r="F14">
            <v>30</v>
          </cell>
          <cell r="G14">
            <v>4</v>
          </cell>
          <cell r="H14">
            <v>6</v>
          </cell>
          <cell r="K14">
            <v>88</v>
          </cell>
        </row>
        <row r="15">
          <cell r="D15" t="str">
            <v>Martin Biron</v>
          </cell>
          <cell r="E15">
            <v>40</v>
          </cell>
          <cell r="F15">
            <v>20</v>
          </cell>
          <cell r="G15">
            <v>5</v>
          </cell>
          <cell r="H15">
            <v>2</v>
          </cell>
          <cell r="J15">
            <v>3</v>
          </cell>
          <cell r="K15">
            <v>56</v>
          </cell>
        </row>
        <row r="16">
          <cell r="D16" t="str">
            <v>Tomas Vokoun</v>
          </cell>
          <cell r="E16">
            <v>47</v>
          </cell>
          <cell r="F16">
            <v>21</v>
          </cell>
          <cell r="G16">
            <v>3</v>
          </cell>
          <cell r="H16">
            <v>6</v>
          </cell>
          <cell r="J16">
            <v>1</v>
          </cell>
          <cell r="K16">
            <v>70</v>
          </cell>
        </row>
        <row r="17">
          <cell r="D17" t="str">
            <v>Vesa Toskala</v>
          </cell>
          <cell r="E17">
            <v>53</v>
          </cell>
          <cell r="F17">
            <v>22</v>
          </cell>
          <cell r="G17">
            <v>11</v>
          </cell>
          <cell r="H17">
            <v>1</v>
          </cell>
          <cell r="I17">
            <v>0</v>
          </cell>
          <cell r="J17">
            <v>0</v>
          </cell>
          <cell r="K17">
            <v>59</v>
          </cell>
        </row>
        <row r="18">
          <cell r="D18" t="str">
            <v>Cristobal Huet</v>
          </cell>
          <cell r="E18">
            <v>36</v>
          </cell>
          <cell r="F18">
            <v>18</v>
          </cell>
          <cell r="G18">
            <v>3</v>
          </cell>
          <cell r="H18">
            <v>3</v>
          </cell>
          <cell r="K18">
            <v>51</v>
          </cell>
        </row>
        <row r="19">
          <cell r="D19" t="str">
            <v>Marty Turco</v>
          </cell>
          <cell r="E19">
            <v>62</v>
          </cell>
          <cell r="F19">
            <v>30</v>
          </cell>
          <cell r="G19">
            <v>8</v>
          </cell>
          <cell r="H19">
            <v>2</v>
          </cell>
          <cell r="J19">
            <v>5</v>
          </cell>
          <cell r="K19">
            <v>81</v>
          </cell>
        </row>
        <row r="20">
          <cell r="D20" t="str">
            <v>Manny Legace</v>
          </cell>
          <cell r="E20">
            <v>29</v>
          </cell>
          <cell r="F20">
            <v>13</v>
          </cell>
          <cell r="G20">
            <v>2</v>
          </cell>
          <cell r="K20">
            <v>28</v>
          </cell>
        </row>
        <row r="21">
          <cell r="D21" t="str">
            <v>Dominik Hasek</v>
          </cell>
          <cell r="K21">
            <v>0</v>
          </cell>
        </row>
        <row r="22">
          <cell r="D22" t="str">
            <v>Chris Osgood</v>
          </cell>
          <cell r="E22">
            <v>35</v>
          </cell>
          <cell r="F22">
            <v>20</v>
          </cell>
          <cell r="G22">
            <v>7</v>
          </cell>
          <cell r="H22">
            <v>1</v>
          </cell>
          <cell r="I22">
            <v>0</v>
          </cell>
          <cell r="J22">
            <v>2</v>
          </cell>
          <cell r="K22">
            <v>53</v>
          </cell>
        </row>
        <row r="23">
          <cell r="D23" t="str">
            <v>Rick Dipietro</v>
          </cell>
          <cell r="E23">
            <v>5</v>
          </cell>
          <cell r="F23">
            <v>1</v>
          </cell>
          <cell r="J23">
            <v>2</v>
          </cell>
          <cell r="K23">
            <v>4</v>
          </cell>
        </row>
        <row r="24">
          <cell r="D24" t="str">
            <v>Tim Thomas</v>
          </cell>
          <cell r="E24">
            <v>43</v>
          </cell>
          <cell r="F24">
            <v>28</v>
          </cell>
          <cell r="G24">
            <v>6</v>
          </cell>
          <cell r="H24">
            <v>4</v>
          </cell>
          <cell r="I24">
            <v>0</v>
          </cell>
          <cell r="J24">
            <v>1</v>
          </cell>
          <cell r="K24">
            <v>79</v>
          </cell>
        </row>
        <row r="25">
          <cell r="D25" t="str">
            <v>Martin Gerber</v>
          </cell>
          <cell r="E25">
            <v>16</v>
          </cell>
          <cell r="F25">
            <v>5</v>
          </cell>
          <cell r="G25">
            <v>1</v>
          </cell>
          <cell r="H25">
            <v>1</v>
          </cell>
          <cell r="I25">
            <v>0</v>
          </cell>
          <cell r="J25">
            <v>1</v>
          </cell>
          <cell r="K25">
            <v>16</v>
          </cell>
        </row>
        <row r="26">
          <cell r="D26" t="str">
            <v>Ilja Bryzgalov</v>
          </cell>
          <cell r="E26">
            <v>54</v>
          </cell>
          <cell r="F26">
            <v>21</v>
          </cell>
          <cell r="G26">
            <v>4</v>
          </cell>
          <cell r="H26">
            <v>3</v>
          </cell>
          <cell r="J26">
            <v>2</v>
          </cell>
          <cell r="K26">
            <v>60</v>
          </cell>
        </row>
        <row r="27">
          <cell r="D27" t="str">
            <v>Dan Ellis</v>
          </cell>
          <cell r="E27">
            <v>33</v>
          </cell>
          <cell r="F27">
            <v>11</v>
          </cell>
          <cell r="G27">
            <v>3</v>
          </cell>
          <cell r="H27">
            <v>3</v>
          </cell>
          <cell r="K27">
            <v>37</v>
          </cell>
        </row>
        <row r="28">
          <cell r="D28" t="str">
            <v>Jose Theodore</v>
          </cell>
          <cell r="E28">
            <v>45</v>
          </cell>
          <cell r="F28">
            <v>24</v>
          </cell>
          <cell r="G28">
            <v>4</v>
          </cell>
          <cell r="H28">
            <v>1</v>
          </cell>
          <cell r="J28">
            <v>3</v>
          </cell>
          <cell r="K28">
            <v>59</v>
          </cell>
        </row>
        <row r="29">
          <cell r="D29" t="str">
            <v>Mathieu Garon</v>
          </cell>
          <cell r="E29">
            <v>17</v>
          </cell>
          <cell r="F29">
            <v>6</v>
          </cell>
          <cell r="K29">
            <v>12</v>
          </cell>
        </row>
        <row r="30">
          <cell r="D30" t="str">
            <v>Carey Price</v>
          </cell>
          <cell r="E30">
            <v>41</v>
          </cell>
          <cell r="F30">
            <v>19</v>
          </cell>
          <cell r="G30">
            <v>6</v>
          </cell>
          <cell r="H30">
            <v>1</v>
          </cell>
          <cell r="J30">
            <v>1</v>
          </cell>
          <cell r="K30">
            <v>49</v>
          </cell>
        </row>
        <row r="31">
          <cell r="D31" t="str">
            <v>Nikolai Khabibulin</v>
          </cell>
          <cell r="E31">
            <v>29</v>
          </cell>
          <cell r="F31">
            <v>17</v>
          </cell>
          <cell r="G31">
            <v>5</v>
          </cell>
          <cell r="H31">
            <v>1</v>
          </cell>
          <cell r="J31">
            <v>2</v>
          </cell>
          <cell r="K31">
            <v>45</v>
          </cell>
        </row>
        <row r="32">
          <cell r="B32">
            <v>38.94794520547945</v>
          </cell>
          <cell r="C32" t="str">
            <v>T.B.</v>
          </cell>
          <cell r="D32" t="str">
            <v>Olaf Kolzig</v>
          </cell>
          <cell r="E32">
            <v>4</v>
          </cell>
          <cell r="F32">
            <v>1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3</v>
          </cell>
        </row>
        <row r="33">
          <cell r="B33">
            <v>32.9041095890411</v>
          </cell>
          <cell r="C33" t="str">
            <v>Stl</v>
          </cell>
          <cell r="D33" t="str">
            <v>Chris Mason</v>
          </cell>
          <cell r="E33">
            <v>40</v>
          </cell>
          <cell r="F33">
            <v>15</v>
          </cell>
          <cell r="G33">
            <v>5</v>
          </cell>
          <cell r="H33">
            <v>4</v>
          </cell>
          <cell r="I33">
            <v>0</v>
          </cell>
          <cell r="J33">
            <v>1</v>
          </cell>
          <cell r="K33">
            <v>52</v>
          </cell>
        </row>
        <row r="34">
          <cell r="D34" t="str">
            <v>Johan Holmqvist</v>
          </cell>
          <cell r="K34">
            <v>0</v>
          </cell>
        </row>
        <row r="35">
          <cell r="D35" t="str">
            <v>Kari Lehtonen</v>
          </cell>
          <cell r="E35">
            <v>39</v>
          </cell>
          <cell r="F35">
            <v>15</v>
          </cell>
          <cell r="G35">
            <v>3</v>
          </cell>
          <cell r="H35">
            <v>2</v>
          </cell>
          <cell r="I35">
            <v>0</v>
          </cell>
          <cell r="J35">
            <v>1</v>
          </cell>
          <cell r="K35">
            <v>42</v>
          </cell>
        </row>
        <row r="36">
          <cell r="D36" t="str">
            <v>Marc-André Fleury</v>
          </cell>
          <cell r="E36">
            <v>49</v>
          </cell>
          <cell r="F36">
            <v>27</v>
          </cell>
          <cell r="G36">
            <v>4</v>
          </cell>
          <cell r="H36">
            <v>3</v>
          </cell>
          <cell r="I36">
            <v>0</v>
          </cell>
          <cell r="J36">
            <v>0</v>
          </cell>
          <cell r="K36">
            <v>70</v>
          </cell>
        </row>
        <row r="37">
          <cell r="D37" t="str">
            <v>Ty Conklin</v>
          </cell>
          <cell r="E37">
            <v>34</v>
          </cell>
          <cell r="F37">
            <v>23</v>
          </cell>
          <cell r="G37">
            <v>1</v>
          </cell>
          <cell r="H37">
            <v>6</v>
          </cell>
          <cell r="K37">
            <v>71</v>
          </cell>
        </row>
        <row r="38">
          <cell r="D38" t="str">
            <v>Mike Smith</v>
          </cell>
          <cell r="E38">
            <v>41</v>
          </cell>
          <cell r="F38">
            <v>14</v>
          </cell>
          <cell r="G38">
            <v>9</v>
          </cell>
          <cell r="H38">
            <v>2</v>
          </cell>
          <cell r="I38">
            <v>0</v>
          </cell>
          <cell r="J38">
            <v>1</v>
          </cell>
          <cell r="K38">
            <v>46</v>
          </cell>
        </row>
        <row r="39">
          <cell r="B39">
            <v>29.156164383561645</v>
          </cell>
          <cell r="C39" t="str">
            <v>Van</v>
          </cell>
          <cell r="D39" t="str">
            <v>Jason Labarbera</v>
          </cell>
          <cell r="E39">
            <v>26</v>
          </cell>
          <cell r="F39">
            <v>7</v>
          </cell>
          <cell r="G39">
            <v>6</v>
          </cell>
          <cell r="H39">
            <v>2</v>
          </cell>
          <cell r="I39">
            <v>0</v>
          </cell>
          <cell r="J39">
            <v>0</v>
          </cell>
          <cell r="K39">
            <v>28</v>
          </cell>
        </row>
        <row r="40">
          <cell r="D40" t="str">
            <v>Johan Hedberg</v>
          </cell>
          <cell r="K40">
            <v>0</v>
          </cell>
        </row>
        <row r="41">
          <cell r="B41">
            <v>39.43013698630137</v>
          </cell>
          <cell r="C41" t="str">
            <v>Edm</v>
          </cell>
          <cell r="D41" t="str">
            <v>Dwayne Roloson</v>
          </cell>
          <cell r="E41">
            <v>48</v>
          </cell>
          <cell r="F41">
            <v>23</v>
          </cell>
          <cell r="G41">
            <v>6</v>
          </cell>
          <cell r="H41">
            <v>1</v>
          </cell>
          <cell r="I41">
            <v>0</v>
          </cell>
          <cell r="J41">
            <v>0</v>
          </cell>
          <cell r="K41">
            <v>56</v>
          </cell>
        </row>
        <row r="42">
          <cell r="D42" t="str">
            <v>Mikeal Tellqvist</v>
          </cell>
          <cell r="K42">
            <v>0</v>
          </cell>
        </row>
        <row r="43">
          <cell r="D43" t="str">
            <v>Peter Budaj</v>
          </cell>
          <cell r="E43">
            <v>45</v>
          </cell>
          <cell r="F43">
            <v>17</v>
          </cell>
          <cell r="G43">
            <v>1</v>
          </cell>
          <cell r="H43">
            <v>1</v>
          </cell>
          <cell r="I43">
            <v>0</v>
          </cell>
          <cell r="J43">
            <v>1</v>
          </cell>
          <cell r="K43">
            <v>40</v>
          </cell>
        </row>
        <row r="44">
          <cell r="D44" t="str">
            <v>Antero Niitymaki</v>
          </cell>
          <cell r="K44">
            <v>0</v>
          </cell>
        </row>
        <row r="45">
          <cell r="B45">
            <v>28.53150684931507</v>
          </cell>
          <cell r="C45" t="str">
            <v>Edm</v>
          </cell>
          <cell r="D45" t="str">
            <v>Dany Sabourin</v>
          </cell>
          <cell r="E45">
            <v>19</v>
          </cell>
          <cell r="F45">
            <v>6</v>
          </cell>
          <cell r="G45">
            <v>2</v>
          </cell>
          <cell r="H45">
            <v>0</v>
          </cell>
          <cell r="I45">
            <v>0</v>
          </cell>
          <cell r="J45">
            <v>0</v>
          </cell>
          <cell r="K45">
            <v>14</v>
          </cell>
        </row>
        <row r="46">
          <cell r="D46" t="str">
            <v>Josh Harding</v>
          </cell>
          <cell r="E46">
            <v>16</v>
          </cell>
          <cell r="F46">
            <v>2</v>
          </cell>
          <cell r="G46">
            <v>1</v>
          </cell>
          <cell r="K46">
            <v>5</v>
          </cell>
        </row>
        <row r="47">
          <cell r="D47" t="str">
            <v>Ray Emery</v>
          </cell>
          <cell r="K47">
            <v>0</v>
          </cell>
        </row>
        <row r="48">
          <cell r="B48">
            <v>28.183561643835617</v>
          </cell>
          <cell r="C48" t="str">
            <v>Ott</v>
          </cell>
          <cell r="D48" t="str">
            <v>Alexander Auld</v>
          </cell>
          <cell r="E48">
            <v>34</v>
          </cell>
          <cell r="F48">
            <v>12</v>
          </cell>
          <cell r="G48">
            <v>6</v>
          </cell>
          <cell r="H48">
            <v>1</v>
          </cell>
          <cell r="I48">
            <v>0</v>
          </cell>
          <cell r="J48">
            <v>0</v>
          </cell>
          <cell r="K48">
            <v>34</v>
          </cell>
        </row>
        <row r="49">
          <cell r="D49" t="str">
            <v>Jonas Hiller</v>
          </cell>
          <cell r="E49">
            <v>33</v>
          </cell>
          <cell r="F49">
            <v>14</v>
          </cell>
          <cell r="G49">
            <v>1</v>
          </cell>
          <cell r="H49">
            <v>4</v>
          </cell>
          <cell r="K49">
            <v>45</v>
          </cell>
        </row>
        <row r="50">
          <cell r="B50">
            <v>29.443835616438356</v>
          </cell>
          <cell r="C50" t="str">
            <v>Van</v>
          </cell>
          <cell r="D50" t="str">
            <v>Curtis Sanford</v>
          </cell>
          <cell r="E50">
            <v>19</v>
          </cell>
          <cell r="F50">
            <v>7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18</v>
          </cell>
        </row>
        <row r="51">
          <cell r="B51">
            <v>23.18082191780822</v>
          </cell>
          <cell r="C51" t="str">
            <v>T.B.</v>
          </cell>
          <cell r="D51" t="str">
            <v>Kami Ramo</v>
          </cell>
          <cell r="E51">
            <v>1</v>
          </cell>
          <cell r="K51">
            <v>0</v>
          </cell>
        </row>
        <row r="52">
          <cell r="D52" t="str">
            <v>Jocelin Thibault</v>
          </cell>
          <cell r="K52">
            <v>0</v>
          </cell>
        </row>
        <row r="53">
          <cell r="D53" t="str">
            <v>Patrick Lalime </v>
          </cell>
          <cell r="E53">
            <v>19</v>
          </cell>
          <cell r="F53">
            <v>4</v>
          </cell>
          <cell r="G53">
            <v>2</v>
          </cell>
          <cell r="H53">
            <v>0</v>
          </cell>
          <cell r="I53">
            <v>0</v>
          </cell>
          <cell r="J53">
            <v>0</v>
          </cell>
          <cell r="K53">
            <v>10</v>
          </cell>
        </row>
        <row r="54">
          <cell r="D54" t="str">
            <v>Hunnu Toivonen</v>
          </cell>
          <cell r="K54">
            <v>0</v>
          </cell>
        </row>
        <row r="55">
          <cell r="D55" t="str">
            <v>Andrew Raycroft</v>
          </cell>
          <cell r="K55">
            <v>0</v>
          </cell>
        </row>
        <row r="56">
          <cell r="D56" t="str">
            <v>Jaroslav Halak</v>
          </cell>
          <cell r="E56">
            <v>28</v>
          </cell>
          <cell r="F56">
            <v>16</v>
          </cell>
          <cell r="G56">
            <v>1</v>
          </cell>
          <cell r="H56">
            <v>1</v>
          </cell>
          <cell r="K56">
            <v>37</v>
          </cell>
        </row>
        <row r="57">
          <cell r="D57" t="str">
            <v>Emmanuel Fernandez</v>
          </cell>
          <cell r="E57">
            <v>24</v>
          </cell>
          <cell r="F57">
            <v>14</v>
          </cell>
          <cell r="G57">
            <v>3</v>
          </cell>
          <cell r="H57">
            <v>1</v>
          </cell>
          <cell r="K57">
            <v>35</v>
          </cell>
        </row>
        <row r="58">
          <cell r="D58" t="str">
            <v>Wade Dubielewicz</v>
          </cell>
          <cell r="K58">
            <v>0</v>
          </cell>
        </row>
        <row r="59">
          <cell r="D59" t="str">
            <v>Ondrej Pavelec</v>
          </cell>
          <cell r="E59">
            <v>11</v>
          </cell>
          <cell r="F59">
            <v>3</v>
          </cell>
          <cell r="K59">
            <v>6</v>
          </cell>
        </row>
        <row r="60">
          <cell r="D60" t="str">
            <v>Curtis Joseph</v>
          </cell>
          <cell r="K60">
            <v>0</v>
          </cell>
        </row>
        <row r="61">
          <cell r="D61" t="str">
            <v>David Leneveu</v>
          </cell>
          <cell r="K61">
            <v>0</v>
          </cell>
        </row>
        <row r="62">
          <cell r="D62" t="str">
            <v>Jonathan Bernier</v>
          </cell>
          <cell r="K62">
            <v>0</v>
          </cell>
        </row>
        <row r="63">
          <cell r="D63" t="str">
            <v>Marc Denis</v>
          </cell>
          <cell r="K63">
            <v>0</v>
          </cell>
        </row>
        <row r="64">
          <cell r="D64" t="str">
            <v>David Aebischer</v>
          </cell>
          <cell r="K64">
            <v>0</v>
          </cell>
        </row>
        <row r="65">
          <cell r="D65" t="str">
            <v>Robert Esche</v>
          </cell>
          <cell r="K65">
            <v>0</v>
          </cell>
        </row>
        <row r="66">
          <cell r="D66" t="str">
            <v>Dimitri Patzold</v>
          </cell>
          <cell r="K66">
            <v>0</v>
          </cell>
        </row>
        <row r="67">
          <cell r="D67" t="str">
            <v>Jimmy Howard</v>
          </cell>
          <cell r="K67">
            <v>0</v>
          </cell>
        </row>
        <row r="68">
          <cell r="B68">
            <v>22.01095890410959</v>
          </cell>
          <cell r="C68" t="str">
            <v>Bos</v>
          </cell>
          <cell r="D68" t="str">
            <v>Tuukka Rask</v>
          </cell>
          <cell r="E68">
            <v>1</v>
          </cell>
          <cell r="F68">
            <v>1</v>
          </cell>
          <cell r="G68">
            <v>0</v>
          </cell>
          <cell r="H68">
            <v>1</v>
          </cell>
          <cell r="I68">
            <v>0</v>
          </cell>
          <cell r="J68">
            <v>0</v>
          </cell>
          <cell r="K68">
            <v>6</v>
          </cell>
        </row>
        <row r="69">
          <cell r="B69">
            <v>35.295890410958904</v>
          </cell>
          <cell r="C69" t="str">
            <v>Cbj</v>
          </cell>
          <cell r="D69" t="str">
            <v>Frederik Norrena</v>
          </cell>
          <cell r="E69">
            <v>8</v>
          </cell>
          <cell r="F69">
            <v>1</v>
          </cell>
          <cell r="G69">
            <v>2</v>
          </cell>
          <cell r="K69">
            <v>4</v>
          </cell>
        </row>
        <row r="70">
          <cell r="B70">
            <v>25.81095890410959</v>
          </cell>
          <cell r="C70" t="str">
            <v>Cgy</v>
          </cell>
          <cell r="D70" t="str">
            <v>Curtis McElhinney</v>
          </cell>
          <cell r="E70">
            <v>2</v>
          </cell>
          <cell r="K70">
            <v>0</v>
          </cell>
        </row>
        <row r="71">
          <cell r="B71">
            <v>20.92054794520548</v>
          </cell>
          <cell r="C71" t="str">
            <v>Cgy</v>
          </cell>
          <cell r="D71" t="str">
            <v>Leland Irving</v>
          </cell>
          <cell r="K71">
            <v>0</v>
          </cell>
        </row>
        <row r="72">
          <cell r="D72" t="str">
            <v>Tobia Stephan</v>
          </cell>
          <cell r="E72">
            <v>8</v>
          </cell>
          <cell r="F72">
            <v>1</v>
          </cell>
          <cell r="J72">
            <v>1</v>
          </cell>
          <cell r="K72">
            <v>3</v>
          </cell>
        </row>
        <row r="73">
          <cell r="D73" t="str">
            <v>Ed Belfour </v>
          </cell>
          <cell r="K73">
            <v>0</v>
          </cell>
        </row>
        <row r="74">
          <cell r="D74" t="str">
            <v>Sébastien Caron</v>
          </cell>
          <cell r="K74">
            <v>0</v>
          </cell>
        </row>
        <row r="75">
          <cell r="B75">
            <v>27.816438356164383</v>
          </cell>
          <cell r="C75" t="str">
            <v>Fla</v>
          </cell>
          <cell r="D75" t="str">
            <v>Craig Anderson</v>
          </cell>
          <cell r="E75">
            <v>27</v>
          </cell>
          <cell r="F75">
            <v>12</v>
          </cell>
          <cell r="G75">
            <v>5</v>
          </cell>
          <cell r="H75">
            <v>3</v>
          </cell>
          <cell r="I75">
            <v>0</v>
          </cell>
          <cell r="J75">
            <v>1</v>
          </cell>
          <cell r="K75">
            <v>42</v>
          </cell>
        </row>
        <row r="76">
          <cell r="B76">
            <v>26.613698630136987</v>
          </cell>
          <cell r="C76" t="str">
            <v>L.A.</v>
          </cell>
          <cell r="D76" t="str">
            <v>Erik Ersberg</v>
          </cell>
          <cell r="E76">
            <v>25</v>
          </cell>
          <cell r="F76">
            <v>8</v>
          </cell>
          <cell r="G76">
            <v>4</v>
          </cell>
          <cell r="H76">
            <v>0</v>
          </cell>
          <cell r="I76">
            <v>0</v>
          </cell>
          <cell r="J76">
            <v>0</v>
          </cell>
          <cell r="K76">
            <v>20</v>
          </cell>
        </row>
        <row r="77">
          <cell r="D77" t="str">
            <v>Nolan Schaefer</v>
          </cell>
          <cell r="K77">
            <v>0</v>
          </cell>
        </row>
        <row r="78">
          <cell r="B78">
            <v>33.95068493150685</v>
          </cell>
          <cell r="C78" t="str">
            <v>N.J.</v>
          </cell>
          <cell r="D78" t="str">
            <v>Kevin Weekes</v>
          </cell>
          <cell r="E78">
            <v>6</v>
          </cell>
          <cell r="F78">
            <v>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4</v>
          </cell>
        </row>
        <row r="79">
          <cell r="D79" t="str">
            <v>Ari Ahonen</v>
          </cell>
          <cell r="K79">
            <v>0</v>
          </cell>
        </row>
        <row r="80">
          <cell r="D80" t="str">
            <v>Pekka Rinne</v>
          </cell>
          <cell r="E80">
            <v>38</v>
          </cell>
          <cell r="F80">
            <v>22</v>
          </cell>
          <cell r="G80">
            <v>1</v>
          </cell>
          <cell r="H80">
            <v>6</v>
          </cell>
          <cell r="J80">
            <v>1</v>
          </cell>
          <cell r="K80">
            <v>70</v>
          </cell>
        </row>
        <row r="81">
          <cell r="D81" t="str">
            <v>Yann Danis</v>
          </cell>
          <cell r="K81">
            <v>0</v>
          </cell>
        </row>
        <row r="82">
          <cell r="D82" t="str">
            <v>Stéphen Valiquette</v>
          </cell>
          <cell r="K82">
            <v>0</v>
          </cell>
        </row>
        <row r="83">
          <cell r="D83" t="str">
            <v>Stephen Valiquette</v>
          </cell>
          <cell r="K83">
            <v>0</v>
          </cell>
        </row>
        <row r="84">
          <cell r="B84">
            <v>24.07945205479452</v>
          </cell>
          <cell r="C84" t="str">
            <v>Phx</v>
          </cell>
          <cell r="D84" t="str">
            <v>Al Montoya</v>
          </cell>
          <cell r="K84">
            <v>0</v>
          </cell>
        </row>
        <row r="85">
          <cell r="D85" t="str">
            <v>Mike Dunham</v>
          </cell>
          <cell r="K85">
            <v>0</v>
          </cell>
        </row>
        <row r="86">
          <cell r="D86" t="str">
            <v>Pasi Nurminen</v>
          </cell>
          <cell r="K86">
            <v>0</v>
          </cell>
        </row>
        <row r="87">
          <cell r="D87" t="str">
            <v>Garth Snow</v>
          </cell>
          <cell r="K87">
            <v>0</v>
          </cell>
        </row>
        <row r="88">
          <cell r="D88" t="str">
            <v>Jeff Hackett</v>
          </cell>
          <cell r="K88">
            <v>0</v>
          </cell>
        </row>
        <row r="89">
          <cell r="D89" t="str">
            <v>Roman Turek</v>
          </cell>
          <cell r="K89">
            <v>0</v>
          </cell>
        </row>
        <row r="90">
          <cell r="D90" t="str">
            <v>Dan Blackburn</v>
          </cell>
          <cell r="K90">
            <v>0</v>
          </cell>
        </row>
        <row r="91">
          <cell r="D91" t="str">
            <v>Mike Richter</v>
          </cell>
          <cell r="K91">
            <v>0</v>
          </cell>
        </row>
        <row r="92">
          <cell r="D92" t="str">
            <v>Thomas Greiss</v>
          </cell>
          <cell r="K92">
            <v>0</v>
          </cell>
        </row>
        <row r="93">
          <cell r="D93" t="str">
            <v>Marek Schwarz</v>
          </cell>
          <cell r="K93">
            <v>0</v>
          </cell>
        </row>
        <row r="94">
          <cell r="D94" t="str">
            <v>Justin Pogge</v>
          </cell>
          <cell r="K94">
            <v>0</v>
          </cell>
        </row>
        <row r="95">
          <cell r="D95" t="str">
            <v>Cory Schneider</v>
          </cell>
          <cell r="E95">
            <v>8</v>
          </cell>
          <cell r="F95">
            <v>2</v>
          </cell>
          <cell r="G95">
            <v>1</v>
          </cell>
          <cell r="K95">
            <v>5</v>
          </cell>
        </row>
        <row r="96">
          <cell r="B96">
            <v>32.010958904109586</v>
          </cell>
          <cell r="C96" t="str">
            <v>Wsh</v>
          </cell>
          <cell r="D96" t="str">
            <v>Brent Johnson</v>
          </cell>
          <cell r="E96">
            <v>21</v>
          </cell>
          <cell r="F96">
            <v>12</v>
          </cell>
          <cell r="G96">
            <v>2</v>
          </cell>
          <cell r="H96">
            <v>0</v>
          </cell>
          <cell r="I96">
            <v>0</v>
          </cell>
          <cell r="J96">
            <v>1</v>
          </cell>
          <cell r="K96">
            <v>27</v>
          </cell>
        </row>
        <row r="97">
          <cell r="D97" t="str">
            <v>Rastislav Stana</v>
          </cell>
          <cell r="K97">
            <v>0</v>
          </cell>
        </row>
        <row r="98">
          <cell r="D98" t="str">
            <v>Maxime Ouellet</v>
          </cell>
          <cell r="K98">
            <v>0</v>
          </cell>
        </row>
        <row r="99">
          <cell r="B99">
            <v>32.2</v>
          </cell>
          <cell r="C99" t="str">
            <v>S.J.</v>
          </cell>
          <cell r="D99" t="str">
            <v>Brian Boucher</v>
          </cell>
          <cell r="E99">
            <v>18</v>
          </cell>
          <cell r="F99">
            <v>10</v>
          </cell>
          <cell r="G99">
            <v>3</v>
          </cell>
          <cell r="H99">
            <v>2</v>
          </cell>
          <cell r="I99">
            <v>0</v>
          </cell>
          <cell r="J99">
            <v>0</v>
          </cell>
          <cell r="K99">
            <v>31</v>
          </cell>
        </row>
        <row r="100">
          <cell r="D100" t="str">
            <v>Dan Cloutier</v>
          </cell>
          <cell r="K100">
            <v>0</v>
          </cell>
        </row>
        <row r="101">
          <cell r="D101" t="str">
            <v>John Grahame</v>
          </cell>
          <cell r="K101">
            <v>0</v>
          </cell>
        </row>
        <row r="102">
          <cell r="D102" t="str">
            <v>Frederic Cassivi</v>
          </cell>
          <cell r="K102">
            <v>0</v>
          </cell>
        </row>
        <row r="103">
          <cell r="D103" t="str">
            <v>Fred Brathwaite</v>
          </cell>
          <cell r="K103">
            <v>0</v>
          </cell>
        </row>
        <row r="104">
          <cell r="D104" t="str">
            <v>Sean Burke</v>
          </cell>
          <cell r="K104">
            <v>0</v>
          </cell>
        </row>
        <row r="105">
          <cell r="D105" t="str">
            <v>Jussi Markkanen</v>
          </cell>
          <cell r="K105">
            <v>0</v>
          </cell>
        </row>
        <row r="106">
          <cell r="D106" t="str">
            <v>Michael Garnett</v>
          </cell>
          <cell r="K106">
            <v>0</v>
          </cell>
        </row>
        <row r="107">
          <cell r="D107" t="str">
            <v>Michael Morrison</v>
          </cell>
          <cell r="K107">
            <v>0</v>
          </cell>
        </row>
        <row r="108">
          <cell r="D108" t="str">
            <v>Phillipe Sauvé</v>
          </cell>
          <cell r="K108">
            <v>0</v>
          </cell>
        </row>
        <row r="109">
          <cell r="D109" t="str">
            <v>Mika Noranen</v>
          </cell>
          <cell r="K109">
            <v>0</v>
          </cell>
        </row>
        <row r="110">
          <cell r="D110" t="str">
            <v>Roman Cechmanek</v>
          </cell>
          <cell r="K110">
            <v>0</v>
          </cell>
        </row>
        <row r="111">
          <cell r="D111" t="str">
            <v>Tommy Salo</v>
          </cell>
          <cell r="K111">
            <v>0</v>
          </cell>
        </row>
        <row r="112">
          <cell r="D112" t="str">
            <v>Ron Tugnutt</v>
          </cell>
          <cell r="K112">
            <v>0</v>
          </cell>
        </row>
        <row r="113">
          <cell r="D113" t="str">
            <v>Martin Prusek</v>
          </cell>
          <cell r="K113">
            <v>0</v>
          </cell>
        </row>
        <row r="114">
          <cell r="D114" t="str">
            <v>Felix Potvin</v>
          </cell>
          <cell r="K114">
            <v>0</v>
          </cell>
        </row>
        <row r="115">
          <cell r="D115" t="str">
            <v>Jamie McLennan</v>
          </cell>
          <cell r="K115">
            <v>0</v>
          </cell>
        </row>
        <row r="116">
          <cell r="D116" t="str">
            <v>Jean-Sebastien Aubin</v>
          </cell>
          <cell r="K116">
            <v>0</v>
          </cell>
        </row>
        <row r="117">
          <cell r="D117" t="str">
            <v>Arturs Irbe</v>
          </cell>
          <cell r="K117">
            <v>0</v>
          </cell>
        </row>
        <row r="118">
          <cell r="D118" t="str">
            <v>Jani Hurme</v>
          </cell>
          <cell r="K118">
            <v>0</v>
          </cell>
        </row>
        <row r="119">
          <cell r="D119" t="str">
            <v>Steve Shields</v>
          </cell>
          <cell r="K119">
            <v>0</v>
          </cell>
        </row>
        <row r="120">
          <cell r="D120" t="str">
            <v>Byron Dafoe</v>
          </cell>
          <cell r="K120">
            <v>0</v>
          </cell>
        </row>
        <row r="121">
          <cell r="D121" t="str">
            <v>Milan Hnilinka</v>
          </cell>
          <cell r="K121">
            <v>0</v>
          </cell>
        </row>
        <row r="122">
          <cell r="D122" t="str">
            <v>Wade Flaherty</v>
          </cell>
          <cell r="K122">
            <v>0</v>
          </cell>
        </row>
        <row r="123">
          <cell r="D123" t="str">
            <v>Chet Pickard</v>
          </cell>
          <cell r="K123">
            <v>0</v>
          </cell>
        </row>
        <row r="124">
          <cell r="D124" t="str">
            <v>Steve Mason</v>
          </cell>
          <cell r="E124">
            <v>46</v>
          </cell>
          <cell r="F124">
            <v>26</v>
          </cell>
          <cell r="G124">
            <v>3</v>
          </cell>
          <cell r="H124">
            <v>8</v>
          </cell>
          <cell r="K124">
            <v>87</v>
          </cell>
        </row>
        <row r="125">
          <cell r="D125" t="str">
            <v>Jeff Deslauriers</v>
          </cell>
          <cell r="E125">
            <v>8</v>
          </cell>
          <cell r="F125">
            <v>3</v>
          </cell>
          <cell r="J125">
            <v>1</v>
          </cell>
          <cell r="K125">
            <v>7</v>
          </cell>
        </row>
        <row r="126">
          <cell r="B126">
            <v>24.2</v>
          </cell>
          <cell r="C126" t="str">
            <v>Chi</v>
          </cell>
          <cell r="D126" t="str">
            <v>Corey Crawfort</v>
          </cell>
          <cell r="K126">
            <v>0</v>
          </cell>
        </row>
        <row r="127">
          <cell r="B127">
            <v>25.542465753424658</v>
          </cell>
          <cell r="C127" t="str">
            <v>Chi</v>
          </cell>
          <cell r="D127" t="str">
            <v>Antti Niemi</v>
          </cell>
          <cell r="E127">
            <v>3</v>
          </cell>
          <cell r="F127">
            <v>1</v>
          </cell>
          <cell r="G127">
            <v>1</v>
          </cell>
          <cell r="K127">
            <v>3</v>
          </cell>
        </row>
        <row r="128">
          <cell r="B128">
            <v>31.646575342465752</v>
          </cell>
          <cell r="C128" t="str">
            <v>N.J.</v>
          </cell>
          <cell r="D128" t="str">
            <v>Scott Clemmensen</v>
          </cell>
          <cell r="E128">
            <v>40</v>
          </cell>
          <cell r="F128">
            <v>25</v>
          </cell>
          <cell r="G128">
            <v>1</v>
          </cell>
          <cell r="H128">
            <v>2</v>
          </cell>
          <cell r="I128">
            <v>0</v>
          </cell>
          <cell r="J128">
            <v>0</v>
          </cell>
        </row>
        <row r="129">
          <cell r="B129">
            <v>20.876712328767123</v>
          </cell>
          <cell r="C129" t="str">
            <v>Wsh</v>
          </cell>
          <cell r="D129" t="str">
            <v>Simeon Varlamov</v>
          </cell>
          <cell r="E129">
            <v>2</v>
          </cell>
          <cell r="F129">
            <v>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1">
          <cell r="B131">
            <v>23.92876712328767</v>
          </cell>
          <cell r="C131" t="str">
            <v>Ott</v>
          </cell>
          <cell r="D131" t="str">
            <v>Brian Elliott</v>
          </cell>
          <cell r="E131">
            <v>20</v>
          </cell>
          <cell r="F131">
            <v>9</v>
          </cell>
          <cell r="G131">
            <v>3</v>
          </cell>
          <cell r="H131">
            <v>0</v>
          </cell>
          <cell r="I131">
            <v>0</v>
          </cell>
          <cell r="J131">
            <v>0</v>
          </cell>
        </row>
      </sheetData>
      <sheetData sheetId="2">
        <row r="6">
          <cell r="B6" t="str">
            <v>Red Wings de Detroit</v>
          </cell>
          <cell r="C6">
            <v>66</v>
          </cell>
          <cell r="D6">
            <v>94</v>
          </cell>
          <cell r="E6">
            <v>244</v>
          </cell>
          <cell r="F6">
            <v>197</v>
          </cell>
          <cell r="G6">
            <v>141</v>
          </cell>
        </row>
        <row r="7">
          <cell r="B7" t="str">
            <v>Canadiens de Montréal</v>
          </cell>
          <cell r="C7">
            <v>66</v>
          </cell>
          <cell r="D7">
            <v>77</v>
          </cell>
          <cell r="E7">
            <v>198</v>
          </cell>
          <cell r="F7">
            <v>197</v>
          </cell>
          <cell r="G7">
            <v>78</v>
          </cell>
        </row>
        <row r="8">
          <cell r="B8" t="str">
            <v>Sharks de San jose</v>
          </cell>
          <cell r="C8">
            <v>64</v>
          </cell>
          <cell r="D8">
            <v>94</v>
          </cell>
          <cell r="E8">
            <v>210</v>
          </cell>
          <cell r="F8">
            <v>159</v>
          </cell>
          <cell r="G8">
            <v>145</v>
          </cell>
        </row>
        <row r="9">
          <cell r="B9" t="str">
            <v>Penguins de Pittburgh</v>
          </cell>
          <cell r="C9">
            <v>67</v>
          </cell>
          <cell r="D9">
            <v>76</v>
          </cell>
          <cell r="E9">
            <v>206</v>
          </cell>
          <cell r="F9">
            <v>201</v>
          </cell>
          <cell r="G9">
            <v>81</v>
          </cell>
        </row>
        <row r="10">
          <cell r="B10" t="str">
            <v>Stars de Dallas</v>
          </cell>
          <cell r="C10">
            <v>66</v>
          </cell>
          <cell r="D10">
            <v>70</v>
          </cell>
          <cell r="E10">
            <v>191</v>
          </cell>
          <cell r="F10">
            <v>202</v>
          </cell>
          <cell r="G10">
            <v>59</v>
          </cell>
        </row>
        <row r="11">
          <cell r="B11" t="str">
            <v>Mighty Ducks d'Anaheim</v>
          </cell>
          <cell r="C11">
            <v>67</v>
          </cell>
          <cell r="D11">
            <v>68</v>
          </cell>
          <cell r="E11">
            <v>186</v>
          </cell>
          <cell r="F11">
            <v>197</v>
          </cell>
          <cell r="G11">
            <v>57</v>
          </cell>
        </row>
        <row r="12">
          <cell r="B12" t="str">
            <v>Rangers de New York</v>
          </cell>
          <cell r="C12">
            <v>66</v>
          </cell>
          <cell r="D12">
            <v>76</v>
          </cell>
          <cell r="E12">
            <v>167</v>
          </cell>
          <cell r="F12">
            <v>180</v>
          </cell>
          <cell r="G12">
            <v>63</v>
          </cell>
        </row>
        <row r="13">
          <cell r="B13" t="str">
            <v>Flyers De Philadelphie</v>
          </cell>
          <cell r="C13">
            <v>64</v>
          </cell>
          <cell r="D13">
            <v>80</v>
          </cell>
          <cell r="E13">
            <v>207</v>
          </cell>
          <cell r="F13">
            <v>186</v>
          </cell>
          <cell r="G13">
            <v>101</v>
          </cell>
        </row>
        <row r="14">
          <cell r="B14" t="str">
            <v>Devils du New Jersey</v>
          </cell>
          <cell r="C14">
            <v>65</v>
          </cell>
          <cell r="D14">
            <v>87</v>
          </cell>
          <cell r="E14">
            <v>202</v>
          </cell>
          <cell r="F14">
            <v>162</v>
          </cell>
          <cell r="G14">
            <v>127</v>
          </cell>
        </row>
        <row r="15">
          <cell r="B15" t="str">
            <v>Senateurs d'ottawa</v>
          </cell>
          <cell r="C15">
            <v>64</v>
          </cell>
          <cell r="D15">
            <v>60</v>
          </cell>
          <cell r="E15">
            <v>165</v>
          </cell>
          <cell r="F15">
            <v>187</v>
          </cell>
          <cell r="G15">
            <v>38</v>
          </cell>
        </row>
        <row r="16">
          <cell r="B16" t="str">
            <v>Avalanche Du Colorado</v>
          </cell>
          <cell r="G16">
            <v>0</v>
          </cell>
        </row>
        <row r="17">
          <cell r="B17" t="str">
            <v>Capitals de Washington</v>
          </cell>
          <cell r="C17">
            <v>67</v>
          </cell>
          <cell r="D17">
            <v>86</v>
          </cell>
          <cell r="E17">
            <v>219</v>
          </cell>
          <cell r="F17">
            <v>199</v>
          </cell>
          <cell r="G17">
            <v>106</v>
          </cell>
        </row>
        <row r="18">
          <cell r="B18" t="str">
            <v>Wild du Minnesota</v>
          </cell>
          <cell r="C18">
            <v>65</v>
          </cell>
          <cell r="D18">
            <v>69</v>
          </cell>
          <cell r="E18">
            <v>167</v>
          </cell>
          <cell r="F18">
            <v>157</v>
          </cell>
          <cell r="G18">
            <v>79</v>
          </cell>
        </row>
        <row r="19">
          <cell r="B19" t="str">
            <v>Sabres de Buffalo</v>
          </cell>
          <cell r="C19">
            <v>66</v>
          </cell>
          <cell r="D19">
            <v>73</v>
          </cell>
          <cell r="E19">
            <v>195</v>
          </cell>
          <cell r="F19">
            <v>183</v>
          </cell>
          <cell r="G19">
            <v>85</v>
          </cell>
        </row>
        <row r="20">
          <cell r="B20" t="str">
            <v>Flames de Calgary</v>
          </cell>
          <cell r="C20">
            <v>66</v>
          </cell>
          <cell r="D20">
            <v>84</v>
          </cell>
          <cell r="E20">
            <v>215</v>
          </cell>
          <cell r="F20">
            <v>198</v>
          </cell>
          <cell r="G20">
            <v>101</v>
          </cell>
        </row>
        <row r="21">
          <cell r="B21" t="str">
            <v>Predators de Nashville</v>
          </cell>
          <cell r="C21">
            <v>66</v>
          </cell>
          <cell r="D21">
            <v>70</v>
          </cell>
          <cell r="E21">
            <v>170</v>
          </cell>
          <cell r="F21">
            <v>183</v>
          </cell>
          <cell r="G21">
            <v>57</v>
          </cell>
        </row>
        <row r="22">
          <cell r="B22" t="str">
            <v>Canucks de Vancouver</v>
          </cell>
          <cell r="C22">
            <v>64</v>
          </cell>
          <cell r="D22">
            <v>76</v>
          </cell>
          <cell r="E22">
            <v>193</v>
          </cell>
          <cell r="F22">
            <v>178</v>
          </cell>
          <cell r="G22">
            <v>91</v>
          </cell>
        </row>
        <row r="23">
          <cell r="B23" t="str">
            <v>Maple Leafs de Toronto</v>
          </cell>
          <cell r="G23">
            <v>0</v>
          </cell>
        </row>
        <row r="24">
          <cell r="B24" t="str">
            <v>Hurricanes de la Caroline</v>
          </cell>
          <cell r="G24">
            <v>0</v>
          </cell>
        </row>
        <row r="25">
          <cell r="B25" t="str">
            <v>Lightning Tampa Bay</v>
          </cell>
          <cell r="C25">
            <v>4</v>
          </cell>
          <cell r="D25">
            <v>2</v>
          </cell>
          <cell r="E25">
            <v>8</v>
          </cell>
          <cell r="F25">
            <v>12</v>
          </cell>
          <cell r="G25">
            <v>-2</v>
          </cell>
        </row>
        <row r="26">
          <cell r="B26" t="str">
            <v>Thrashers d'Atlanta</v>
          </cell>
          <cell r="G26">
            <v>0</v>
          </cell>
        </row>
        <row r="27">
          <cell r="B27" t="str">
            <v>Islanders de New York</v>
          </cell>
          <cell r="G27">
            <v>0</v>
          </cell>
        </row>
        <row r="28">
          <cell r="B28" t="str">
            <v>Panthers de la Floride</v>
          </cell>
          <cell r="G28">
            <v>0</v>
          </cell>
        </row>
        <row r="29">
          <cell r="B29" t="str">
            <v>Blues de St-Louis</v>
          </cell>
          <cell r="C29">
            <v>65</v>
          </cell>
          <cell r="D29">
            <v>66</v>
          </cell>
          <cell r="E29">
            <v>180</v>
          </cell>
          <cell r="F29">
            <v>194</v>
          </cell>
          <cell r="G29">
            <v>52</v>
          </cell>
        </row>
        <row r="30">
          <cell r="B30" t="str">
            <v>Blue Jackets de Columbus</v>
          </cell>
          <cell r="G30">
            <v>0</v>
          </cell>
        </row>
        <row r="31">
          <cell r="B31" t="str">
            <v>Oilers d'Edmonton</v>
          </cell>
          <cell r="C31">
            <v>65</v>
          </cell>
          <cell r="D31">
            <v>70</v>
          </cell>
          <cell r="E31">
            <v>184</v>
          </cell>
          <cell r="F31">
            <v>199</v>
          </cell>
          <cell r="G31">
            <v>55</v>
          </cell>
        </row>
        <row r="32">
          <cell r="B32" t="str">
            <v>Blackhawks de Chicago</v>
          </cell>
          <cell r="C32">
            <v>63</v>
          </cell>
          <cell r="D32">
            <v>81</v>
          </cell>
          <cell r="E32">
            <v>211</v>
          </cell>
          <cell r="F32">
            <v>162</v>
          </cell>
          <cell r="G32">
            <v>130</v>
          </cell>
        </row>
        <row r="33">
          <cell r="B33" t="str">
            <v>Kings de Los Angeles</v>
          </cell>
          <cell r="G33">
            <v>0</v>
          </cell>
        </row>
        <row r="34">
          <cell r="B34" t="str">
            <v>Bruins de Boston</v>
          </cell>
          <cell r="C34">
            <v>67</v>
          </cell>
          <cell r="D34">
            <v>95</v>
          </cell>
          <cell r="E34">
            <v>226</v>
          </cell>
          <cell r="F34">
            <v>155</v>
          </cell>
          <cell r="G34">
            <v>166</v>
          </cell>
        </row>
        <row r="35">
          <cell r="B35" t="str">
            <v>Coyotes de Phoenix</v>
          </cell>
          <cell r="C35">
            <v>66</v>
          </cell>
          <cell r="D35">
            <v>61</v>
          </cell>
          <cell r="E35">
            <v>164</v>
          </cell>
          <cell r="F35">
            <v>202</v>
          </cell>
          <cell r="G35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workbookViewId="0" topLeftCell="A1">
      <selection activeCell="M128" sqref="M128"/>
    </sheetView>
  </sheetViews>
  <sheetFormatPr defaultColWidth="11.421875" defaultRowHeight="12.75"/>
  <cols>
    <col min="1" max="1" width="4.28125" style="2" customWidth="1"/>
    <col min="2" max="2" width="11.140625" style="2" customWidth="1"/>
    <col min="3" max="3" width="9.28125" style="2" customWidth="1"/>
    <col min="4" max="4" width="4.421875" style="2" customWidth="1"/>
    <col min="5" max="5" width="6.8515625" style="2" customWidth="1"/>
    <col min="6" max="6" width="20.28125" style="2" customWidth="1"/>
    <col min="7" max="7" width="2.28125" style="2" customWidth="1"/>
    <col min="8" max="8" width="4.8515625" style="2" customWidth="1"/>
    <col min="9" max="9" width="12.421875" style="2" customWidth="1"/>
    <col min="10" max="10" width="8.8515625" style="2" customWidth="1"/>
    <col min="11" max="11" width="5.28125" style="2" customWidth="1"/>
    <col min="12" max="12" width="7.28125" style="2" customWidth="1"/>
    <col min="13" max="13" width="20.28125" style="2" customWidth="1"/>
    <col min="14" max="16384" width="12.421875" style="2" customWidth="1"/>
  </cols>
  <sheetData>
    <row r="1" ht="15.75">
      <c r="A1" s="1"/>
    </row>
    <row r="2" ht="15.75"/>
    <row r="3" ht="15.75"/>
    <row r="4" ht="15.75"/>
    <row r="5" ht="15.75"/>
    <row r="6" ht="15.75"/>
    <row r="7" spans="1:8" ht="15.75">
      <c r="A7" s="1" t="s">
        <v>0</v>
      </c>
      <c r="H7" s="1" t="s">
        <v>1</v>
      </c>
    </row>
    <row r="8" ht="15.75">
      <c r="B8" s="3"/>
    </row>
    <row r="9" spans="1:13" ht="15.75">
      <c r="A9" s="4" t="s">
        <v>2</v>
      </c>
      <c r="B9" s="5" t="s">
        <v>3</v>
      </c>
      <c r="C9" s="6" t="s">
        <v>4</v>
      </c>
      <c r="D9" s="7" t="s">
        <v>2</v>
      </c>
      <c r="E9" s="8" t="s">
        <v>5</v>
      </c>
      <c r="F9" s="8" t="s">
        <v>6</v>
      </c>
      <c r="H9" s="4" t="s">
        <v>2</v>
      </c>
      <c r="I9" s="5" t="s">
        <v>3</v>
      </c>
      <c r="J9" s="6" t="s">
        <v>4</v>
      </c>
      <c r="K9" s="9" t="s">
        <v>2</v>
      </c>
      <c r="L9" s="8" t="s">
        <v>5</v>
      </c>
      <c r="M9" s="8" t="s">
        <v>6</v>
      </c>
    </row>
    <row r="10" spans="1:13" ht="15.75">
      <c r="A10" s="4" t="s">
        <v>7</v>
      </c>
      <c r="B10" s="10" t="s">
        <v>8</v>
      </c>
      <c r="C10" s="11"/>
      <c r="D10" s="12" t="s">
        <v>9</v>
      </c>
      <c r="E10" s="12" t="s">
        <v>10</v>
      </c>
      <c r="F10" s="13" t="s">
        <v>11</v>
      </c>
      <c r="H10" s="4" t="s">
        <v>7</v>
      </c>
      <c r="I10" s="10" t="s">
        <v>8</v>
      </c>
      <c r="J10" s="11"/>
      <c r="K10" s="12" t="s">
        <v>12</v>
      </c>
      <c r="L10" s="14" t="s">
        <v>13</v>
      </c>
      <c r="M10" s="13" t="s">
        <v>14</v>
      </c>
    </row>
    <row r="11" spans="1:13" ht="15.75">
      <c r="A11" s="4" t="s">
        <v>15</v>
      </c>
      <c r="B11" s="10" t="s">
        <v>16</v>
      </c>
      <c r="C11" s="15"/>
      <c r="D11" s="12" t="s">
        <v>12</v>
      </c>
      <c r="E11" s="14" t="s">
        <v>17</v>
      </c>
      <c r="F11" s="13" t="s">
        <v>18</v>
      </c>
      <c r="H11" s="4" t="s">
        <v>15</v>
      </c>
      <c r="I11" s="10" t="s">
        <v>16</v>
      </c>
      <c r="J11" s="15"/>
      <c r="K11" s="12" t="s">
        <v>19</v>
      </c>
      <c r="L11" s="14" t="s">
        <v>20</v>
      </c>
      <c r="M11" s="13" t="s">
        <v>21</v>
      </c>
    </row>
    <row r="12" spans="1:13" ht="15.75">
      <c r="A12" s="4" t="s">
        <v>22</v>
      </c>
      <c r="B12" s="10" t="s">
        <v>23</v>
      </c>
      <c r="C12" s="15"/>
      <c r="D12" s="12" t="s">
        <v>24</v>
      </c>
      <c r="E12" s="14" t="s">
        <v>25</v>
      </c>
      <c r="F12" s="13" t="s">
        <v>26</v>
      </c>
      <c r="H12" s="4" t="s">
        <v>22</v>
      </c>
      <c r="I12" s="16" t="s">
        <v>23</v>
      </c>
      <c r="J12" s="15" t="s">
        <v>27</v>
      </c>
      <c r="K12" s="17" t="s">
        <v>28</v>
      </c>
      <c r="L12" s="18" t="s">
        <v>29</v>
      </c>
      <c r="M12" s="19" t="s">
        <v>30</v>
      </c>
    </row>
    <row r="13" spans="1:13" ht="15.75">
      <c r="A13" s="4" t="s">
        <v>31</v>
      </c>
      <c r="B13" s="16" t="s">
        <v>32</v>
      </c>
      <c r="C13" s="6" t="s">
        <v>16</v>
      </c>
      <c r="D13" s="20" t="s">
        <v>33</v>
      </c>
      <c r="E13" s="21" t="s">
        <v>34</v>
      </c>
      <c r="F13" s="13" t="s">
        <v>35</v>
      </c>
      <c r="H13" s="4" t="s">
        <v>31</v>
      </c>
      <c r="I13" s="16" t="s">
        <v>32</v>
      </c>
      <c r="J13" s="6" t="s">
        <v>8</v>
      </c>
      <c r="K13" s="12" t="s">
        <v>33</v>
      </c>
      <c r="L13" s="14" t="s">
        <v>36</v>
      </c>
      <c r="M13" s="13" t="s">
        <v>37</v>
      </c>
    </row>
    <row r="14" spans="1:13" ht="15.75">
      <c r="A14" s="4" t="s">
        <v>38</v>
      </c>
      <c r="B14" s="10" t="s">
        <v>39</v>
      </c>
      <c r="C14" s="15"/>
      <c r="D14" s="12" t="s">
        <v>40</v>
      </c>
      <c r="E14" s="14" t="s">
        <v>41</v>
      </c>
      <c r="F14" s="13" t="s">
        <v>42</v>
      </c>
      <c r="H14" s="4" t="s">
        <v>38</v>
      </c>
      <c r="I14" s="10" t="s">
        <v>39</v>
      </c>
      <c r="J14" s="15"/>
      <c r="K14" s="12" t="s">
        <v>24</v>
      </c>
      <c r="L14" s="14" t="s">
        <v>20</v>
      </c>
      <c r="M14" s="13" t="s">
        <v>43</v>
      </c>
    </row>
    <row r="15" spans="1:13" ht="15.75">
      <c r="A15" s="4" t="s">
        <v>44</v>
      </c>
      <c r="B15" s="10" t="s">
        <v>45</v>
      </c>
      <c r="C15" s="15"/>
      <c r="D15" s="12" t="s">
        <v>12</v>
      </c>
      <c r="E15" s="14" t="s">
        <v>20</v>
      </c>
      <c r="F15" s="13" t="s">
        <v>46</v>
      </c>
      <c r="H15" s="4" t="s">
        <v>44</v>
      </c>
      <c r="I15" s="10" t="s">
        <v>45</v>
      </c>
      <c r="J15" s="15"/>
      <c r="K15" s="12" t="s">
        <v>12</v>
      </c>
      <c r="L15" s="14" t="s">
        <v>20</v>
      </c>
      <c r="M15" s="13" t="s">
        <v>47</v>
      </c>
    </row>
    <row r="16" spans="1:13" ht="15.75">
      <c r="A16" s="8" t="s">
        <v>48</v>
      </c>
      <c r="B16" s="10" t="s">
        <v>49</v>
      </c>
      <c r="C16" s="15"/>
      <c r="D16" s="12" t="s">
        <v>9</v>
      </c>
      <c r="E16" s="14" t="s">
        <v>50</v>
      </c>
      <c r="F16" s="13" t="s">
        <v>51</v>
      </c>
      <c r="H16" s="8" t="s">
        <v>48</v>
      </c>
      <c r="I16" s="10" t="s">
        <v>52</v>
      </c>
      <c r="J16" s="15"/>
      <c r="K16" s="12" t="s">
        <v>33</v>
      </c>
      <c r="L16" s="14" t="s">
        <v>36</v>
      </c>
      <c r="M16" s="13" t="s">
        <v>53</v>
      </c>
    </row>
    <row r="17" spans="1:13" ht="15.75">
      <c r="A17" s="8" t="s">
        <v>54</v>
      </c>
      <c r="B17" s="16" t="s">
        <v>27</v>
      </c>
      <c r="C17" s="6" t="s">
        <v>8</v>
      </c>
      <c r="D17" s="12" t="s">
        <v>24</v>
      </c>
      <c r="E17" s="14" t="s">
        <v>55</v>
      </c>
      <c r="F17" s="13" t="s">
        <v>56</v>
      </c>
      <c r="H17" s="8" t="s">
        <v>54</v>
      </c>
      <c r="I17" s="10" t="s">
        <v>27</v>
      </c>
      <c r="J17" s="6"/>
      <c r="K17" s="12" t="s">
        <v>40</v>
      </c>
      <c r="L17" s="14" t="s">
        <v>57</v>
      </c>
      <c r="M17" s="13" t="s">
        <v>58</v>
      </c>
    </row>
    <row r="18" spans="1:13" ht="15.75">
      <c r="A18" s="8" t="s">
        <v>59</v>
      </c>
      <c r="B18" s="10" t="s">
        <v>60</v>
      </c>
      <c r="C18" s="15"/>
      <c r="D18" s="12" t="s">
        <v>40</v>
      </c>
      <c r="E18" s="14" t="s">
        <v>57</v>
      </c>
      <c r="F18" s="13" t="s">
        <v>61</v>
      </c>
      <c r="H18" s="8" t="s">
        <v>59</v>
      </c>
      <c r="I18" s="16" t="s">
        <v>62</v>
      </c>
      <c r="J18" s="15" t="s">
        <v>8</v>
      </c>
      <c r="K18" s="12" t="s">
        <v>12</v>
      </c>
      <c r="L18" s="14" t="s">
        <v>36</v>
      </c>
      <c r="M18" s="13" t="s">
        <v>63</v>
      </c>
    </row>
    <row r="19" spans="1:13" ht="15.75">
      <c r="A19" s="8" t="s">
        <v>64</v>
      </c>
      <c r="B19" s="10" t="s">
        <v>65</v>
      </c>
      <c r="C19" s="15"/>
      <c r="D19" s="12" t="s">
        <v>33</v>
      </c>
      <c r="E19" s="14" t="s">
        <v>50</v>
      </c>
      <c r="F19" s="13" t="s">
        <v>66</v>
      </c>
      <c r="H19" s="8" t="s">
        <v>64</v>
      </c>
      <c r="I19" s="10" t="s">
        <v>65</v>
      </c>
      <c r="J19" s="15"/>
      <c r="K19" s="12" t="s">
        <v>40</v>
      </c>
      <c r="L19" s="14" t="s">
        <v>29</v>
      </c>
      <c r="M19" s="13" t="s">
        <v>67</v>
      </c>
    </row>
    <row r="21" spans="1:8" ht="15.75">
      <c r="A21" s="1" t="s">
        <v>68</v>
      </c>
      <c r="H21" s="1" t="s">
        <v>69</v>
      </c>
    </row>
    <row r="22" ht="15.75">
      <c r="B22" s="3"/>
    </row>
    <row r="23" spans="1:13" ht="15.75">
      <c r="A23" s="4" t="s">
        <v>2</v>
      </c>
      <c r="B23" s="5" t="s">
        <v>3</v>
      </c>
      <c r="C23" s="6" t="s">
        <v>4</v>
      </c>
      <c r="D23" s="9" t="s">
        <v>2</v>
      </c>
      <c r="E23" s="8" t="s">
        <v>5</v>
      </c>
      <c r="F23" s="8" t="s">
        <v>6</v>
      </c>
      <c r="H23" s="4" t="s">
        <v>2</v>
      </c>
      <c r="I23" s="5" t="s">
        <v>3</v>
      </c>
      <c r="J23" s="6" t="s">
        <v>4</v>
      </c>
      <c r="K23" s="9" t="s">
        <v>2</v>
      </c>
      <c r="L23" s="8" t="s">
        <v>5</v>
      </c>
      <c r="M23" s="8" t="s">
        <v>6</v>
      </c>
    </row>
    <row r="24" spans="1:13" ht="15.75">
      <c r="A24" s="4" t="s">
        <v>7</v>
      </c>
      <c r="B24" s="10" t="s">
        <v>8</v>
      </c>
      <c r="C24" s="11"/>
      <c r="D24" s="12" t="s">
        <v>12</v>
      </c>
      <c r="E24" s="14" t="s">
        <v>70</v>
      </c>
      <c r="F24" s="13" t="s">
        <v>71</v>
      </c>
      <c r="H24" s="4" t="s">
        <v>7</v>
      </c>
      <c r="I24" s="10" t="s">
        <v>8</v>
      </c>
      <c r="J24" s="11"/>
      <c r="K24" s="17" t="s">
        <v>28</v>
      </c>
      <c r="L24" s="18" t="s">
        <v>36</v>
      </c>
      <c r="M24" s="22" t="s">
        <v>72</v>
      </c>
    </row>
    <row r="25" spans="1:13" ht="15.75">
      <c r="A25" s="4" t="s">
        <v>15</v>
      </c>
      <c r="B25" s="16" t="s">
        <v>16</v>
      </c>
      <c r="C25" s="11" t="s">
        <v>8</v>
      </c>
      <c r="D25" s="12" t="s">
        <v>12</v>
      </c>
      <c r="E25" s="14" t="s">
        <v>34</v>
      </c>
      <c r="F25" s="13" t="s">
        <v>73</v>
      </c>
      <c r="H25" s="4" t="s">
        <v>15</v>
      </c>
      <c r="I25" s="10" t="s">
        <v>16</v>
      </c>
      <c r="J25" s="15"/>
      <c r="K25" s="20" t="s">
        <v>33</v>
      </c>
      <c r="L25" s="21" t="s">
        <v>34</v>
      </c>
      <c r="M25" s="13" t="s">
        <v>74</v>
      </c>
    </row>
    <row r="26" spans="1:13" ht="15.75">
      <c r="A26" s="4" t="s">
        <v>22</v>
      </c>
      <c r="B26" s="16" t="s">
        <v>23</v>
      </c>
      <c r="C26" s="15" t="s">
        <v>32</v>
      </c>
      <c r="D26" s="20" t="s">
        <v>33</v>
      </c>
      <c r="E26" s="21" t="s">
        <v>75</v>
      </c>
      <c r="F26" s="13" t="s">
        <v>76</v>
      </c>
      <c r="H26" s="4" t="s">
        <v>22</v>
      </c>
      <c r="I26" s="10" t="s">
        <v>23</v>
      </c>
      <c r="J26" s="15"/>
      <c r="K26" s="12" t="s">
        <v>40</v>
      </c>
      <c r="L26" s="14" t="s">
        <v>34</v>
      </c>
      <c r="M26" s="13" t="s">
        <v>77</v>
      </c>
    </row>
    <row r="27" spans="1:13" ht="15.75">
      <c r="A27" s="4" t="s">
        <v>31</v>
      </c>
      <c r="B27" s="10" t="s">
        <v>32</v>
      </c>
      <c r="C27" s="6"/>
      <c r="D27" s="20" t="s">
        <v>12</v>
      </c>
      <c r="E27" s="21" t="s">
        <v>78</v>
      </c>
      <c r="F27" s="13" t="s">
        <v>79</v>
      </c>
      <c r="H27" s="4" t="s">
        <v>31</v>
      </c>
      <c r="I27" s="10" t="s">
        <v>32</v>
      </c>
      <c r="J27" s="6"/>
      <c r="K27" s="12" t="s">
        <v>12</v>
      </c>
      <c r="L27" s="14" t="s">
        <v>29</v>
      </c>
      <c r="M27" s="13" t="s">
        <v>80</v>
      </c>
    </row>
    <row r="28" spans="1:13" ht="15.75">
      <c r="A28" s="4" t="s">
        <v>38</v>
      </c>
      <c r="B28" s="10" t="s">
        <v>39</v>
      </c>
      <c r="C28" s="15"/>
      <c r="D28" s="20" t="s">
        <v>12</v>
      </c>
      <c r="E28" s="21" t="s">
        <v>81</v>
      </c>
      <c r="F28" s="13" t="s">
        <v>82</v>
      </c>
      <c r="H28" s="4" t="s">
        <v>38</v>
      </c>
      <c r="I28" s="10" t="s">
        <v>39</v>
      </c>
      <c r="J28" s="15"/>
      <c r="K28" s="12" t="s">
        <v>33</v>
      </c>
      <c r="L28" s="14" t="s">
        <v>29</v>
      </c>
      <c r="M28" s="13" t="s">
        <v>83</v>
      </c>
    </row>
    <row r="29" spans="1:13" ht="15.75">
      <c r="A29" s="4" t="s">
        <v>44</v>
      </c>
      <c r="B29" s="16" t="s">
        <v>45</v>
      </c>
      <c r="C29" s="15" t="s">
        <v>8</v>
      </c>
      <c r="D29" s="12" t="s">
        <v>12</v>
      </c>
      <c r="E29" s="14" t="s">
        <v>84</v>
      </c>
      <c r="F29" s="13" t="s">
        <v>85</v>
      </c>
      <c r="H29" s="4" t="s">
        <v>44</v>
      </c>
      <c r="I29" s="10" t="s">
        <v>45</v>
      </c>
      <c r="J29" s="15"/>
      <c r="K29" s="12" t="s">
        <v>12</v>
      </c>
      <c r="L29" s="14" t="s">
        <v>86</v>
      </c>
      <c r="M29" s="13" t="s">
        <v>87</v>
      </c>
    </row>
    <row r="30" spans="1:13" ht="15.75">
      <c r="A30" s="8" t="s">
        <v>48</v>
      </c>
      <c r="B30" s="10" t="s">
        <v>49</v>
      </c>
      <c r="C30" s="15"/>
      <c r="D30" s="20" t="s">
        <v>40</v>
      </c>
      <c r="E30" s="21" t="s">
        <v>13</v>
      </c>
      <c r="F30" s="13" t="s">
        <v>88</v>
      </c>
      <c r="H30" s="8" t="s">
        <v>48</v>
      </c>
      <c r="I30" s="10" t="s">
        <v>52</v>
      </c>
      <c r="J30" s="15"/>
      <c r="K30" s="20" t="s">
        <v>12</v>
      </c>
      <c r="L30" s="21" t="s">
        <v>89</v>
      </c>
      <c r="M30" s="13" t="s">
        <v>90</v>
      </c>
    </row>
    <row r="31" spans="1:13" ht="15.75">
      <c r="A31" s="8" t="s">
        <v>54</v>
      </c>
      <c r="B31" s="10" t="s">
        <v>27</v>
      </c>
      <c r="C31" s="6"/>
      <c r="D31" s="12" t="s">
        <v>12</v>
      </c>
      <c r="E31" s="14" t="s">
        <v>91</v>
      </c>
      <c r="F31" s="13" t="s">
        <v>92</v>
      </c>
      <c r="H31" s="8" t="s">
        <v>54</v>
      </c>
      <c r="I31" s="10" t="s">
        <v>27</v>
      </c>
      <c r="J31" s="6"/>
      <c r="K31" s="18" t="s">
        <v>93</v>
      </c>
      <c r="L31" s="18" t="s">
        <v>29</v>
      </c>
      <c r="M31" s="19" t="s">
        <v>94</v>
      </c>
    </row>
    <row r="32" spans="1:13" ht="15.75">
      <c r="A32" s="8" t="s">
        <v>59</v>
      </c>
      <c r="B32" s="10" t="s">
        <v>60</v>
      </c>
      <c r="C32" s="15"/>
      <c r="D32" s="12" t="s">
        <v>12</v>
      </c>
      <c r="E32" s="14" t="s">
        <v>34</v>
      </c>
      <c r="F32" s="13" t="s">
        <v>95</v>
      </c>
      <c r="H32" s="8" t="s">
        <v>59</v>
      </c>
      <c r="I32" s="10" t="s">
        <v>62</v>
      </c>
      <c r="J32" s="15"/>
      <c r="K32" s="12" t="s">
        <v>12</v>
      </c>
      <c r="L32" s="14" t="s">
        <v>10</v>
      </c>
      <c r="M32" s="13" t="s">
        <v>96</v>
      </c>
    </row>
    <row r="33" spans="1:13" ht="15.75">
      <c r="A33" s="8" t="s">
        <v>64</v>
      </c>
      <c r="B33" s="10" t="s">
        <v>65</v>
      </c>
      <c r="C33" s="15"/>
      <c r="D33" s="12" t="s">
        <v>12</v>
      </c>
      <c r="E33" s="14" t="s">
        <v>97</v>
      </c>
      <c r="F33" s="13" t="s">
        <v>98</v>
      </c>
      <c r="H33" s="8" t="s">
        <v>64</v>
      </c>
      <c r="I33" s="10" t="s">
        <v>65</v>
      </c>
      <c r="J33" s="15"/>
      <c r="K33" s="12" t="s">
        <v>40</v>
      </c>
      <c r="L33" s="14" t="s">
        <v>55</v>
      </c>
      <c r="M33" s="13" t="s">
        <v>99</v>
      </c>
    </row>
    <row r="34" spans="1:13" ht="15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8" ht="15.75">
      <c r="A35" s="1" t="s">
        <v>100</v>
      </c>
      <c r="H35" s="1" t="s">
        <v>101</v>
      </c>
    </row>
    <row r="36" ht="15.75">
      <c r="B36" s="3"/>
    </row>
    <row r="37" spans="1:13" ht="15.75">
      <c r="A37" s="4" t="s">
        <v>2</v>
      </c>
      <c r="B37" s="5" t="s">
        <v>3</v>
      </c>
      <c r="C37" s="6" t="s">
        <v>4</v>
      </c>
      <c r="D37" s="8" t="s">
        <v>2</v>
      </c>
      <c r="E37" s="8" t="s">
        <v>5</v>
      </c>
      <c r="F37" s="8" t="s">
        <v>6</v>
      </c>
      <c r="H37" s="4" t="s">
        <v>2</v>
      </c>
      <c r="I37" s="5" t="s">
        <v>3</v>
      </c>
      <c r="J37" s="6" t="s">
        <v>4</v>
      </c>
      <c r="K37" s="8" t="s">
        <v>2</v>
      </c>
      <c r="L37" s="8" t="s">
        <v>5</v>
      </c>
      <c r="M37" s="8" t="s">
        <v>6</v>
      </c>
    </row>
    <row r="38" spans="1:13" ht="15.75">
      <c r="A38" s="4" t="s">
        <v>7</v>
      </c>
      <c r="B38" s="16" t="s">
        <v>8</v>
      </c>
      <c r="C38" s="15" t="s">
        <v>32</v>
      </c>
      <c r="D38" s="12" t="s">
        <v>33</v>
      </c>
      <c r="E38" s="14" t="s">
        <v>10</v>
      </c>
      <c r="F38" s="13" t="s">
        <v>102</v>
      </c>
      <c r="H38" s="4" t="s">
        <v>7</v>
      </c>
      <c r="I38" s="10" t="s">
        <v>8</v>
      </c>
      <c r="J38" s="11"/>
      <c r="K38" s="12" t="s">
        <v>33</v>
      </c>
      <c r="L38" s="14" t="s">
        <v>103</v>
      </c>
      <c r="M38" s="13" t="s">
        <v>104</v>
      </c>
    </row>
    <row r="39" spans="1:13" ht="15.75">
      <c r="A39" s="4" t="s">
        <v>15</v>
      </c>
      <c r="B39" s="10" t="s">
        <v>16</v>
      </c>
      <c r="C39" s="15"/>
      <c r="D39" s="12" t="s">
        <v>33</v>
      </c>
      <c r="E39" s="14" t="s">
        <v>105</v>
      </c>
      <c r="F39" s="13" t="s">
        <v>106</v>
      </c>
      <c r="H39" s="4" t="s">
        <v>15</v>
      </c>
      <c r="I39" s="10" t="s">
        <v>16</v>
      </c>
      <c r="J39" s="15"/>
      <c r="K39" s="12" t="s">
        <v>12</v>
      </c>
      <c r="L39" s="14" t="s">
        <v>103</v>
      </c>
      <c r="M39" s="13" t="s">
        <v>107</v>
      </c>
    </row>
    <row r="40" spans="1:13" ht="15.75">
      <c r="A40" s="4" t="s">
        <v>22</v>
      </c>
      <c r="B40" s="10" t="s">
        <v>23</v>
      </c>
      <c r="C40" s="15"/>
      <c r="D40" s="17" t="s">
        <v>28</v>
      </c>
      <c r="E40" s="18" t="s">
        <v>78</v>
      </c>
      <c r="F40" s="22" t="s">
        <v>108</v>
      </c>
      <c r="H40" s="4" t="s">
        <v>22</v>
      </c>
      <c r="I40" s="10" t="s">
        <v>23</v>
      </c>
      <c r="J40" s="15"/>
      <c r="K40" s="12" t="s">
        <v>40</v>
      </c>
      <c r="L40" s="14" t="s">
        <v>109</v>
      </c>
      <c r="M40" s="13" t="s">
        <v>110</v>
      </c>
    </row>
    <row r="41" spans="1:13" ht="15.75">
      <c r="A41" s="4" t="s">
        <v>31</v>
      </c>
      <c r="B41" s="10" t="s">
        <v>32</v>
      </c>
      <c r="C41" s="6"/>
      <c r="D41" s="20" t="s">
        <v>12</v>
      </c>
      <c r="E41" s="21" t="s">
        <v>111</v>
      </c>
      <c r="F41" s="13" t="s">
        <v>112</v>
      </c>
      <c r="H41" s="4" t="s">
        <v>31</v>
      </c>
      <c r="I41" s="10" t="s">
        <v>32</v>
      </c>
      <c r="J41" s="6"/>
      <c r="K41" s="12" t="s">
        <v>33</v>
      </c>
      <c r="L41" s="14" t="s">
        <v>84</v>
      </c>
      <c r="M41" s="13" t="s">
        <v>113</v>
      </c>
    </row>
    <row r="42" spans="1:13" ht="15.75">
      <c r="A42" s="4" t="s">
        <v>38</v>
      </c>
      <c r="B42" s="10" t="s">
        <v>39</v>
      </c>
      <c r="C42" s="15"/>
      <c r="D42" s="20" t="s">
        <v>33</v>
      </c>
      <c r="E42" s="21" t="s">
        <v>89</v>
      </c>
      <c r="F42" s="13" t="s">
        <v>114</v>
      </c>
      <c r="H42" s="4" t="s">
        <v>38</v>
      </c>
      <c r="I42" s="10" t="s">
        <v>39</v>
      </c>
      <c r="J42" s="15"/>
      <c r="K42" s="20" t="s">
        <v>40</v>
      </c>
      <c r="L42" s="21" t="s">
        <v>105</v>
      </c>
      <c r="M42" s="13" t="s">
        <v>115</v>
      </c>
    </row>
    <row r="43" spans="1:13" ht="15.75">
      <c r="A43" s="4" t="s">
        <v>44</v>
      </c>
      <c r="B43" s="10" t="s">
        <v>45</v>
      </c>
      <c r="C43" s="15"/>
      <c r="D43" s="12" t="s">
        <v>33</v>
      </c>
      <c r="E43" s="14" t="s">
        <v>78</v>
      </c>
      <c r="F43" s="13" t="s">
        <v>116</v>
      </c>
      <c r="H43" s="4" t="s">
        <v>44</v>
      </c>
      <c r="I43" s="16" t="s">
        <v>45</v>
      </c>
      <c r="J43" s="15" t="s">
        <v>27</v>
      </c>
      <c r="K43" s="12" t="s">
        <v>12</v>
      </c>
      <c r="L43" s="14" t="s">
        <v>17</v>
      </c>
      <c r="M43" s="13" t="s">
        <v>117</v>
      </c>
    </row>
    <row r="44" spans="1:13" ht="15.75">
      <c r="A44" s="8" t="s">
        <v>48</v>
      </c>
      <c r="B44" s="10" t="s">
        <v>49</v>
      </c>
      <c r="C44" s="15"/>
      <c r="D44" s="12" t="s">
        <v>33</v>
      </c>
      <c r="E44" s="14" t="s">
        <v>118</v>
      </c>
      <c r="F44" s="13" t="s">
        <v>119</v>
      </c>
      <c r="H44" s="8" t="s">
        <v>48</v>
      </c>
      <c r="I44" s="10" t="s">
        <v>52</v>
      </c>
      <c r="J44" s="15"/>
      <c r="K44" s="12" t="s">
        <v>12</v>
      </c>
      <c r="L44" s="14" t="s">
        <v>120</v>
      </c>
      <c r="M44" s="13" t="s">
        <v>121</v>
      </c>
    </row>
    <row r="45" spans="1:13" ht="15.75">
      <c r="A45" s="8" t="s">
        <v>54</v>
      </c>
      <c r="B45" s="10" t="s">
        <v>27</v>
      </c>
      <c r="C45" s="6"/>
      <c r="D45" s="12" t="s">
        <v>40</v>
      </c>
      <c r="E45" s="14" t="s">
        <v>103</v>
      </c>
      <c r="F45" s="13" t="s">
        <v>122</v>
      </c>
      <c r="H45" s="8" t="s">
        <v>54</v>
      </c>
      <c r="I45" s="16" t="s">
        <v>27</v>
      </c>
      <c r="J45" s="6" t="s">
        <v>123</v>
      </c>
      <c r="K45" s="17" t="s">
        <v>28</v>
      </c>
      <c r="L45" s="18" t="s">
        <v>111</v>
      </c>
      <c r="M45" s="22" t="s">
        <v>124</v>
      </c>
    </row>
    <row r="46" spans="1:13" ht="15.75">
      <c r="A46" s="8" t="s">
        <v>59</v>
      </c>
      <c r="B46" s="10" t="s">
        <v>60</v>
      </c>
      <c r="C46" s="15"/>
      <c r="D46" s="20" t="s">
        <v>12</v>
      </c>
      <c r="E46" s="21" t="s">
        <v>125</v>
      </c>
      <c r="F46" s="13" t="s">
        <v>126</v>
      </c>
      <c r="H46" s="8" t="s">
        <v>59</v>
      </c>
      <c r="I46" s="10" t="s">
        <v>62</v>
      </c>
      <c r="J46" s="15"/>
      <c r="K46" s="20" t="s">
        <v>12</v>
      </c>
      <c r="L46" s="21" t="s">
        <v>75</v>
      </c>
      <c r="M46" s="13" t="s">
        <v>127</v>
      </c>
    </row>
    <row r="47" spans="1:13" ht="15.75">
      <c r="A47" s="8" t="s">
        <v>64</v>
      </c>
      <c r="B47" s="10" t="s">
        <v>65</v>
      </c>
      <c r="C47" s="15"/>
      <c r="D47" s="20" t="s">
        <v>40</v>
      </c>
      <c r="E47" s="21" t="s">
        <v>70</v>
      </c>
      <c r="F47" s="13" t="s">
        <v>128</v>
      </c>
      <c r="H47" s="8" t="s">
        <v>64</v>
      </c>
      <c r="I47" s="16" t="s">
        <v>65</v>
      </c>
      <c r="J47" s="15" t="s">
        <v>27</v>
      </c>
      <c r="K47" s="12" t="s">
        <v>24</v>
      </c>
      <c r="L47" s="14" t="s">
        <v>118</v>
      </c>
      <c r="M47" s="13" t="s">
        <v>129</v>
      </c>
    </row>
    <row r="48" spans="1:13" ht="15.75">
      <c r="A48" s="23"/>
      <c r="B48" s="24"/>
      <c r="C48" s="25"/>
      <c r="D48" s="25"/>
      <c r="E48" s="25"/>
      <c r="F48" s="25"/>
      <c r="H48" s="23"/>
      <c r="I48" s="26"/>
      <c r="J48" s="23"/>
      <c r="K48" s="25"/>
      <c r="L48" s="25"/>
      <c r="M48" s="25"/>
    </row>
    <row r="49" spans="1:8" ht="15.75">
      <c r="A49" s="1" t="s">
        <v>130</v>
      </c>
      <c r="H49" s="1" t="s">
        <v>131</v>
      </c>
    </row>
    <row r="50" ht="15.75">
      <c r="B50" s="3"/>
    </row>
    <row r="51" spans="1:13" ht="15.75">
      <c r="A51" s="4" t="s">
        <v>2</v>
      </c>
      <c r="B51" s="5" t="s">
        <v>3</v>
      </c>
      <c r="C51" s="6" t="s">
        <v>4</v>
      </c>
      <c r="D51" s="8" t="s">
        <v>2</v>
      </c>
      <c r="E51" s="8" t="s">
        <v>5</v>
      </c>
      <c r="F51" s="8" t="s">
        <v>6</v>
      </c>
      <c r="H51" s="4" t="s">
        <v>2</v>
      </c>
      <c r="I51" s="5" t="s">
        <v>3</v>
      </c>
      <c r="J51" s="6" t="s">
        <v>4</v>
      </c>
      <c r="K51" s="8" t="s">
        <v>2</v>
      </c>
      <c r="L51" s="8" t="s">
        <v>5</v>
      </c>
      <c r="M51" s="8" t="s">
        <v>6</v>
      </c>
    </row>
    <row r="52" spans="1:13" ht="15.75">
      <c r="A52" s="4" t="s">
        <v>7</v>
      </c>
      <c r="B52" s="16" t="s">
        <v>8</v>
      </c>
      <c r="C52" s="15" t="s">
        <v>62</v>
      </c>
      <c r="D52" s="12" t="s">
        <v>40</v>
      </c>
      <c r="E52" s="14" t="s">
        <v>109</v>
      </c>
      <c r="F52" s="13" t="s">
        <v>132</v>
      </c>
      <c r="H52" s="4" t="s">
        <v>7</v>
      </c>
      <c r="I52" s="10" t="s">
        <v>8</v>
      </c>
      <c r="J52" s="11"/>
      <c r="K52" s="12" t="s">
        <v>12</v>
      </c>
      <c r="L52" s="14" t="s">
        <v>84</v>
      </c>
      <c r="M52" s="13" t="s">
        <v>133</v>
      </c>
    </row>
    <row r="53" spans="1:13" ht="15.75">
      <c r="A53" s="4" t="s">
        <v>15</v>
      </c>
      <c r="B53" s="10" t="s">
        <v>16</v>
      </c>
      <c r="C53" s="15" t="s">
        <v>134</v>
      </c>
      <c r="D53" s="17" t="s">
        <v>28</v>
      </c>
      <c r="E53" s="18" t="s">
        <v>25</v>
      </c>
      <c r="F53" s="22" t="s">
        <v>135</v>
      </c>
      <c r="H53" s="4" t="s">
        <v>15</v>
      </c>
      <c r="I53" s="10" t="s">
        <v>16</v>
      </c>
      <c r="J53" s="15"/>
      <c r="K53" s="12" t="s">
        <v>12</v>
      </c>
      <c r="L53" s="14" t="s">
        <v>89</v>
      </c>
      <c r="M53" s="13" t="s">
        <v>136</v>
      </c>
    </row>
    <row r="54" spans="1:13" ht="15.75">
      <c r="A54" s="4" t="s">
        <v>22</v>
      </c>
      <c r="B54" s="10" t="s">
        <v>23</v>
      </c>
      <c r="C54" s="15"/>
      <c r="D54" s="12" t="s">
        <v>12</v>
      </c>
      <c r="E54" s="14" t="s">
        <v>103</v>
      </c>
      <c r="F54" s="13" t="s">
        <v>137</v>
      </c>
      <c r="H54" s="4" t="s">
        <v>22</v>
      </c>
      <c r="I54" s="10" t="s">
        <v>23</v>
      </c>
      <c r="J54" s="15"/>
      <c r="K54" s="20" t="s">
        <v>12</v>
      </c>
      <c r="L54" s="21" t="s">
        <v>111</v>
      </c>
      <c r="M54" s="13" t="s">
        <v>138</v>
      </c>
    </row>
    <row r="55" spans="1:13" ht="15.75">
      <c r="A55" s="4" t="s">
        <v>31</v>
      </c>
      <c r="B55" s="10" t="s">
        <v>32</v>
      </c>
      <c r="C55" s="6"/>
      <c r="D55" s="12" t="s">
        <v>12</v>
      </c>
      <c r="E55" s="14" t="s">
        <v>84</v>
      </c>
      <c r="F55" s="13" t="s">
        <v>139</v>
      </c>
      <c r="H55" s="4" t="s">
        <v>31</v>
      </c>
      <c r="I55" s="10" t="s">
        <v>32</v>
      </c>
      <c r="J55" s="6"/>
      <c r="K55" s="20" t="s">
        <v>33</v>
      </c>
      <c r="L55" s="21" t="s">
        <v>140</v>
      </c>
      <c r="M55" s="13" t="s">
        <v>141</v>
      </c>
    </row>
    <row r="56" spans="1:13" ht="15.75">
      <c r="A56" s="4" t="s">
        <v>38</v>
      </c>
      <c r="B56" s="10" t="s">
        <v>39</v>
      </c>
      <c r="C56" s="15"/>
      <c r="D56" s="12" t="s">
        <v>40</v>
      </c>
      <c r="E56" s="14" t="s">
        <v>142</v>
      </c>
      <c r="F56" s="13" t="s">
        <v>143</v>
      </c>
      <c r="H56" s="4" t="s">
        <v>38</v>
      </c>
      <c r="I56" s="10" t="s">
        <v>39</v>
      </c>
      <c r="J56" s="15"/>
      <c r="K56" s="12" t="s">
        <v>12</v>
      </c>
      <c r="L56" s="14" t="s">
        <v>125</v>
      </c>
      <c r="M56" s="13" t="s">
        <v>144</v>
      </c>
    </row>
    <row r="57" spans="1:13" ht="15.75">
      <c r="A57" s="4" t="s">
        <v>44</v>
      </c>
      <c r="B57" s="10" t="s">
        <v>45</v>
      </c>
      <c r="C57" s="15"/>
      <c r="D57" s="20" t="s">
        <v>40</v>
      </c>
      <c r="E57" s="21" t="s">
        <v>17</v>
      </c>
      <c r="F57" s="13" t="s">
        <v>145</v>
      </c>
      <c r="H57" s="4" t="s">
        <v>44</v>
      </c>
      <c r="I57" s="10" t="s">
        <v>45</v>
      </c>
      <c r="J57" s="15"/>
      <c r="K57" s="12" t="s">
        <v>40</v>
      </c>
      <c r="L57" s="14" t="s">
        <v>20</v>
      </c>
      <c r="M57" s="13" t="s">
        <v>146</v>
      </c>
    </row>
    <row r="58" spans="1:13" ht="15.75">
      <c r="A58" s="8" t="s">
        <v>48</v>
      </c>
      <c r="B58" s="10" t="s">
        <v>49</v>
      </c>
      <c r="C58" s="15"/>
      <c r="D58" s="20" t="s">
        <v>12</v>
      </c>
      <c r="E58" s="21" t="s">
        <v>120</v>
      </c>
      <c r="F58" s="13" t="s">
        <v>147</v>
      </c>
      <c r="H58" s="8" t="s">
        <v>48</v>
      </c>
      <c r="I58" s="10" t="s">
        <v>52</v>
      </c>
      <c r="J58" s="15"/>
      <c r="K58" s="12" t="s">
        <v>33</v>
      </c>
      <c r="L58" s="14" t="s">
        <v>91</v>
      </c>
      <c r="M58" s="13" t="s">
        <v>148</v>
      </c>
    </row>
    <row r="59" spans="1:13" ht="15.75">
      <c r="A59" s="8" t="s">
        <v>54</v>
      </c>
      <c r="B59" s="10" t="s">
        <v>27</v>
      </c>
      <c r="C59" s="6"/>
      <c r="D59" s="12" t="s">
        <v>12</v>
      </c>
      <c r="E59" s="14" t="s">
        <v>91</v>
      </c>
      <c r="F59" s="13" t="s">
        <v>149</v>
      </c>
      <c r="H59" s="8" t="s">
        <v>54</v>
      </c>
      <c r="I59" s="10" t="s">
        <v>27</v>
      </c>
      <c r="J59" s="6"/>
      <c r="K59" s="12" t="s">
        <v>40</v>
      </c>
      <c r="L59" s="14" t="s">
        <v>97</v>
      </c>
      <c r="M59" s="13" t="s">
        <v>150</v>
      </c>
    </row>
    <row r="60" spans="1:13" ht="15.75">
      <c r="A60" s="8" t="s">
        <v>59</v>
      </c>
      <c r="B60" s="10" t="s">
        <v>60</v>
      </c>
      <c r="C60" s="15"/>
      <c r="D60" s="12" t="s">
        <v>40</v>
      </c>
      <c r="E60" s="14" t="s">
        <v>25</v>
      </c>
      <c r="F60" s="13" t="s">
        <v>151</v>
      </c>
      <c r="H60" s="8" t="s">
        <v>59</v>
      </c>
      <c r="I60" s="10" t="s">
        <v>62</v>
      </c>
      <c r="J60" s="15"/>
      <c r="K60" s="12" t="s">
        <v>33</v>
      </c>
      <c r="L60" s="14" t="s">
        <v>120</v>
      </c>
      <c r="M60" s="13" t="s">
        <v>152</v>
      </c>
    </row>
    <row r="61" spans="1:13" ht="15.75">
      <c r="A61" s="8" t="s">
        <v>64</v>
      </c>
      <c r="B61" s="10" t="s">
        <v>65</v>
      </c>
      <c r="C61" s="15"/>
      <c r="D61" s="12" t="s">
        <v>12</v>
      </c>
      <c r="E61" s="14" t="s">
        <v>10</v>
      </c>
      <c r="F61" s="13" t="s">
        <v>153</v>
      </c>
      <c r="H61" s="8" t="s">
        <v>64</v>
      </c>
      <c r="I61" s="10" t="s">
        <v>65</v>
      </c>
      <c r="J61" s="15"/>
      <c r="K61" s="12" t="s">
        <v>33</v>
      </c>
      <c r="L61" s="14" t="s">
        <v>154</v>
      </c>
      <c r="M61" s="13" t="s">
        <v>155</v>
      </c>
    </row>
    <row r="63" spans="1:8" ht="15.75">
      <c r="A63" s="1" t="s">
        <v>156</v>
      </c>
      <c r="H63" s="1" t="s">
        <v>157</v>
      </c>
    </row>
    <row r="64" ht="15.75">
      <c r="B64" s="3"/>
    </row>
    <row r="65" spans="1:13" ht="15.75">
      <c r="A65" s="4" t="s">
        <v>2</v>
      </c>
      <c r="B65" s="5" t="s">
        <v>3</v>
      </c>
      <c r="C65" s="6" t="s">
        <v>4</v>
      </c>
      <c r="D65" s="8" t="s">
        <v>2</v>
      </c>
      <c r="E65" s="8" t="s">
        <v>5</v>
      </c>
      <c r="F65" s="8" t="s">
        <v>6</v>
      </c>
      <c r="H65" s="4" t="s">
        <v>2</v>
      </c>
      <c r="I65" s="5" t="s">
        <v>3</v>
      </c>
      <c r="J65" s="6" t="s">
        <v>4</v>
      </c>
      <c r="K65" s="8" t="s">
        <v>2</v>
      </c>
      <c r="L65" s="8" t="s">
        <v>5</v>
      </c>
      <c r="M65" s="8" t="s">
        <v>6</v>
      </c>
    </row>
    <row r="66" spans="1:13" ht="15.75">
      <c r="A66" s="4" t="s">
        <v>7</v>
      </c>
      <c r="B66" s="10" t="s">
        <v>8</v>
      </c>
      <c r="C66" s="11"/>
      <c r="D66" s="12" t="s">
        <v>33</v>
      </c>
      <c r="E66" s="14" t="s">
        <v>140</v>
      </c>
      <c r="F66" s="13" t="s">
        <v>158</v>
      </c>
      <c r="H66" s="4" t="s">
        <v>7</v>
      </c>
      <c r="I66" s="10" t="s">
        <v>8</v>
      </c>
      <c r="J66" s="11"/>
      <c r="K66" s="12" t="s">
        <v>9</v>
      </c>
      <c r="L66" s="14" t="s">
        <v>55</v>
      </c>
      <c r="M66" s="13" t="s">
        <v>159</v>
      </c>
    </row>
    <row r="67" spans="1:13" ht="15.75">
      <c r="A67" s="4" t="s">
        <v>15</v>
      </c>
      <c r="B67" s="10" t="s">
        <v>16</v>
      </c>
      <c r="C67" s="15"/>
      <c r="D67" s="12" t="s">
        <v>12</v>
      </c>
      <c r="E67" s="14" t="s">
        <v>120</v>
      </c>
      <c r="F67" s="13" t="s">
        <v>160</v>
      </c>
      <c r="H67" s="4" t="s">
        <v>15</v>
      </c>
      <c r="I67" s="10" t="s">
        <v>16</v>
      </c>
      <c r="J67" s="15"/>
      <c r="K67" s="12" t="s">
        <v>33</v>
      </c>
      <c r="L67" s="14" t="s">
        <v>125</v>
      </c>
      <c r="M67" s="13" t="s">
        <v>161</v>
      </c>
    </row>
    <row r="68" spans="1:13" ht="15.75">
      <c r="A68" s="4" t="s">
        <v>22</v>
      </c>
      <c r="B68" s="10" t="s">
        <v>23</v>
      </c>
      <c r="C68" s="15"/>
      <c r="D68" s="12" t="s">
        <v>33</v>
      </c>
      <c r="E68" s="14" t="s">
        <v>78</v>
      </c>
      <c r="F68" s="13" t="s">
        <v>162</v>
      </c>
      <c r="H68" s="4" t="s">
        <v>22</v>
      </c>
      <c r="I68" s="10" t="s">
        <v>23</v>
      </c>
      <c r="J68" s="15"/>
      <c r="K68" s="12" t="s">
        <v>40</v>
      </c>
      <c r="L68" s="14" t="s">
        <v>140</v>
      </c>
      <c r="M68" s="13" t="s">
        <v>163</v>
      </c>
    </row>
    <row r="69" spans="1:13" ht="15.75">
      <c r="A69" s="4" t="s">
        <v>31</v>
      </c>
      <c r="B69" s="16" t="s">
        <v>32</v>
      </c>
      <c r="C69" s="6" t="s">
        <v>62</v>
      </c>
      <c r="D69" s="12" t="s">
        <v>12</v>
      </c>
      <c r="E69" s="14" t="s">
        <v>57</v>
      </c>
      <c r="F69" s="13" t="s">
        <v>164</v>
      </c>
      <c r="H69" s="4" t="s">
        <v>31</v>
      </c>
      <c r="I69" s="10" t="s">
        <v>32</v>
      </c>
      <c r="J69" s="6"/>
      <c r="K69" s="12" t="s">
        <v>24</v>
      </c>
      <c r="L69" s="14" t="s">
        <v>17</v>
      </c>
      <c r="M69" s="13" t="s">
        <v>165</v>
      </c>
    </row>
    <row r="70" spans="1:13" ht="15.75">
      <c r="A70" s="4" t="s">
        <v>38</v>
      </c>
      <c r="B70" s="10" t="s">
        <v>39</v>
      </c>
      <c r="C70" s="15"/>
      <c r="D70" s="12" t="s">
        <v>33</v>
      </c>
      <c r="E70" s="14" t="s">
        <v>70</v>
      </c>
      <c r="F70" s="13" t="s">
        <v>166</v>
      </c>
      <c r="H70" s="4" t="s">
        <v>38</v>
      </c>
      <c r="I70" s="10" t="s">
        <v>39</v>
      </c>
      <c r="J70" s="15"/>
      <c r="K70" s="12" t="s">
        <v>19</v>
      </c>
      <c r="L70" s="14" t="s">
        <v>81</v>
      </c>
      <c r="M70" s="13" t="s">
        <v>167</v>
      </c>
    </row>
    <row r="71" spans="1:13" ht="15.75">
      <c r="A71" s="4" t="s">
        <v>44</v>
      </c>
      <c r="B71" s="10" t="s">
        <v>45</v>
      </c>
      <c r="C71" s="15"/>
      <c r="D71" s="12" t="s">
        <v>40</v>
      </c>
      <c r="E71" s="14" t="s">
        <v>120</v>
      </c>
      <c r="F71" s="13" t="s">
        <v>168</v>
      </c>
      <c r="H71" s="4" t="s">
        <v>44</v>
      </c>
      <c r="I71" s="10" t="s">
        <v>45</v>
      </c>
      <c r="J71" s="15"/>
      <c r="K71" s="12" t="s">
        <v>24</v>
      </c>
      <c r="L71" s="14" t="s">
        <v>125</v>
      </c>
      <c r="M71" s="13" t="s">
        <v>169</v>
      </c>
    </row>
    <row r="72" spans="1:13" ht="15.75">
      <c r="A72" s="8" t="s">
        <v>48</v>
      </c>
      <c r="B72" s="10" t="s">
        <v>49</v>
      </c>
      <c r="C72" s="15"/>
      <c r="D72" s="12" t="s">
        <v>12</v>
      </c>
      <c r="E72" s="14" t="s">
        <v>17</v>
      </c>
      <c r="F72" s="13" t="s">
        <v>170</v>
      </c>
      <c r="H72" s="8" t="s">
        <v>48</v>
      </c>
      <c r="I72" s="10" t="s">
        <v>52</v>
      </c>
      <c r="J72" s="15"/>
      <c r="K72" s="12" t="s">
        <v>24</v>
      </c>
      <c r="L72" s="14" t="s">
        <v>36</v>
      </c>
      <c r="M72" s="13" t="s">
        <v>171</v>
      </c>
    </row>
    <row r="73" spans="1:13" ht="15.75">
      <c r="A73" s="8" t="s">
        <v>54</v>
      </c>
      <c r="B73" s="10" t="s">
        <v>27</v>
      </c>
      <c r="C73" s="6"/>
      <c r="D73" s="12" t="s">
        <v>12</v>
      </c>
      <c r="E73" s="14" t="s">
        <v>154</v>
      </c>
      <c r="F73" s="13" t="s">
        <v>172</v>
      </c>
      <c r="H73" s="8" t="s">
        <v>54</v>
      </c>
      <c r="I73" s="16" t="s">
        <v>27</v>
      </c>
      <c r="J73" s="6" t="s">
        <v>62</v>
      </c>
      <c r="K73" s="12" t="s">
        <v>24</v>
      </c>
      <c r="L73" s="14" t="s">
        <v>50</v>
      </c>
      <c r="M73" s="13" t="s">
        <v>173</v>
      </c>
    </row>
    <row r="74" spans="1:13" ht="15.75">
      <c r="A74" s="8" t="s">
        <v>59</v>
      </c>
      <c r="B74" s="10" t="s">
        <v>60</v>
      </c>
      <c r="C74" s="15"/>
      <c r="D74" s="12" t="s">
        <v>24</v>
      </c>
      <c r="E74" s="27" t="s">
        <v>57</v>
      </c>
      <c r="F74" s="19" t="s">
        <v>174</v>
      </c>
      <c r="H74" s="8" t="s">
        <v>59</v>
      </c>
      <c r="I74" s="10" t="s">
        <v>62</v>
      </c>
      <c r="J74" s="15"/>
      <c r="K74" s="12" t="s">
        <v>12</v>
      </c>
      <c r="L74" s="14" t="s">
        <v>118</v>
      </c>
      <c r="M74" s="13" t="s">
        <v>175</v>
      </c>
    </row>
    <row r="75" spans="1:13" ht="15.75">
      <c r="A75" s="8" t="s">
        <v>64</v>
      </c>
      <c r="B75" s="10" t="s">
        <v>65</v>
      </c>
      <c r="C75" s="15"/>
      <c r="D75" s="12" t="s">
        <v>33</v>
      </c>
      <c r="E75" s="14" t="s">
        <v>78</v>
      </c>
      <c r="F75" s="13" t="s">
        <v>176</v>
      </c>
      <c r="H75" s="8" t="s">
        <v>64</v>
      </c>
      <c r="I75" s="10" t="s">
        <v>65</v>
      </c>
      <c r="J75" s="15"/>
      <c r="K75" s="12" t="s">
        <v>24</v>
      </c>
      <c r="L75" s="14" t="s">
        <v>140</v>
      </c>
      <c r="M75" s="13" t="s">
        <v>177</v>
      </c>
    </row>
    <row r="77" spans="1:8" ht="15.75">
      <c r="A77" s="1" t="s">
        <v>178</v>
      </c>
      <c r="H77" s="1" t="s">
        <v>179</v>
      </c>
    </row>
    <row r="78" ht="15.75">
      <c r="B78" s="3"/>
    </row>
    <row r="79" spans="1:13" ht="15.75">
      <c r="A79" s="4" t="s">
        <v>2</v>
      </c>
      <c r="B79" s="5" t="s">
        <v>3</v>
      </c>
      <c r="C79" s="6" t="s">
        <v>4</v>
      </c>
      <c r="D79" s="8" t="s">
        <v>2</v>
      </c>
      <c r="E79" s="8" t="s">
        <v>5</v>
      </c>
      <c r="F79" s="8" t="s">
        <v>6</v>
      </c>
      <c r="H79" s="4" t="s">
        <v>2</v>
      </c>
      <c r="I79" s="5" t="s">
        <v>3</v>
      </c>
      <c r="J79" s="6" t="s">
        <v>4</v>
      </c>
      <c r="K79" s="8" t="s">
        <v>2</v>
      </c>
      <c r="L79" s="8" t="s">
        <v>5</v>
      </c>
      <c r="M79" s="8" t="s">
        <v>6</v>
      </c>
    </row>
    <row r="80" spans="1:13" ht="15.75">
      <c r="A80" s="4" t="s">
        <v>7</v>
      </c>
      <c r="B80" s="10" t="s">
        <v>8</v>
      </c>
      <c r="C80" s="11"/>
      <c r="D80" s="12" t="s">
        <v>19</v>
      </c>
      <c r="E80" s="14" t="s">
        <v>125</v>
      </c>
      <c r="F80" s="13" t="s">
        <v>180</v>
      </c>
      <c r="H80" s="4" t="s">
        <v>7</v>
      </c>
      <c r="I80" s="10" t="s">
        <v>8</v>
      </c>
      <c r="J80" s="11"/>
      <c r="K80" s="17" t="s">
        <v>28</v>
      </c>
      <c r="L80" s="18" t="s">
        <v>154</v>
      </c>
      <c r="M80" s="22" t="s">
        <v>181</v>
      </c>
    </row>
    <row r="81" spans="1:13" ht="15.75">
      <c r="A81" s="4" t="s">
        <v>15</v>
      </c>
      <c r="B81" s="10" t="s">
        <v>16</v>
      </c>
      <c r="C81" s="15"/>
      <c r="D81" s="17" t="s">
        <v>28</v>
      </c>
      <c r="E81" s="18" t="s">
        <v>84</v>
      </c>
      <c r="F81" s="22" t="s">
        <v>182</v>
      </c>
      <c r="H81" s="4" t="s">
        <v>15</v>
      </c>
      <c r="I81" s="10" t="s">
        <v>16</v>
      </c>
      <c r="J81" s="15"/>
      <c r="K81" s="12" t="s">
        <v>33</v>
      </c>
      <c r="L81" s="14" t="s">
        <v>120</v>
      </c>
      <c r="M81" s="13" t="s">
        <v>183</v>
      </c>
    </row>
    <row r="82" spans="1:13" ht="15.75">
      <c r="A82" s="4" t="s">
        <v>22</v>
      </c>
      <c r="B82" s="10" t="s">
        <v>23</v>
      </c>
      <c r="C82" s="15"/>
      <c r="D82" s="12" t="s">
        <v>12</v>
      </c>
      <c r="E82" s="14" t="s">
        <v>41</v>
      </c>
      <c r="F82" s="13" t="s">
        <v>184</v>
      </c>
      <c r="H82" s="4" t="s">
        <v>22</v>
      </c>
      <c r="I82" s="10" t="s">
        <v>23</v>
      </c>
      <c r="J82" s="15"/>
      <c r="K82" s="12" t="s">
        <v>24</v>
      </c>
      <c r="L82" s="14" t="s">
        <v>78</v>
      </c>
      <c r="M82" s="13" t="s">
        <v>185</v>
      </c>
    </row>
    <row r="83" spans="1:13" ht="15.75">
      <c r="A83" s="4" t="s">
        <v>31</v>
      </c>
      <c r="B83" s="10" t="s">
        <v>32</v>
      </c>
      <c r="C83" s="6"/>
      <c r="D83" s="12" t="s">
        <v>9</v>
      </c>
      <c r="E83" s="14" t="s">
        <v>186</v>
      </c>
      <c r="F83" s="13" t="s">
        <v>187</v>
      </c>
      <c r="H83" s="4" t="s">
        <v>31</v>
      </c>
      <c r="I83" s="10" t="s">
        <v>32</v>
      </c>
      <c r="J83" s="6"/>
      <c r="K83" s="12" t="s">
        <v>33</v>
      </c>
      <c r="L83" s="14" t="s">
        <v>13</v>
      </c>
      <c r="M83" s="13" t="s">
        <v>188</v>
      </c>
    </row>
    <row r="84" spans="1:13" ht="15.75">
      <c r="A84" s="4" t="s">
        <v>38</v>
      </c>
      <c r="B84" s="10" t="s">
        <v>39</v>
      </c>
      <c r="C84" s="15"/>
      <c r="D84" s="12" t="s">
        <v>189</v>
      </c>
      <c r="E84" s="14" t="s">
        <v>70</v>
      </c>
      <c r="F84" s="13" t="s">
        <v>143</v>
      </c>
      <c r="H84" s="4" t="s">
        <v>38</v>
      </c>
      <c r="I84" s="10" t="s">
        <v>39</v>
      </c>
      <c r="J84" s="15"/>
      <c r="K84" s="12" t="s">
        <v>33</v>
      </c>
      <c r="L84" s="14" t="s">
        <v>41</v>
      </c>
      <c r="M84" s="13" t="s">
        <v>190</v>
      </c>
    </row>
    <row r="85" spans="1:13" ht="15.75">
      <c r="A85" s="4" t="s">
        <v>44</v>
      </c>
      <c r="B85" s="10" t="s">
        <v>45</v>
      </c>
      <c r="C85" s="15"/>
      <c r="D85" s="12" t="s">
        <v>19</v>
      </c>
      <c r="E85" s="14" t="s">
        <v>20</v>
      </c>
      <c r="F85" s="13" t="s">
        <v>191</v>
      </c>
      <c r="H85" s="4" t="s">
        <v>44</v>
      </c>
      <c r="I85" s="10" t="s">
        <v>45</v>
      </c>
      <c r="J85" s="15"/>
      <c r="K85" s="12" t="s">
        <v>9</v>
      </c>
      <c r="L85" s="14" t="s">
        <v>57</v>
      </c>
      <c r="M85" s="13" t="s">
        <v>192</v>
      </c>
    </row>
    <row r="86" spans="1:13" ht="15.75">
      <c r="A86" s="8" t="s">
        <v>48</v>
      </c>
      <c r="B86" s="10" t="s">
        <v>49</v>
      </c>
      <c r="C86" s="15"/>
      <c r="D86" s="12" t="s">
        <v>33</v>
      </c>
      <c r="E86" s="14" t="s">
        <v>10</v>
      </c>
      <c r="F86" s="13" t="s">
        <v>193</v>
      </c>
      <c r="H86" s="8" t="s">
        <v>48</v>
      </c>
      <c r="I86" s="10" t="s">
        <v>52</v>
      </c>
      <c r="J86" s="15"/>
      <c r="K86" s="12" t="s">
        <v>33</v>
      </c>
      <c r="L86" s="14" t="s">
        <v>78</v>
      </c>
      <c r="M86" s="13" t="s">
        <v>194</v>
      </c>
    </row>
    <row r="87" spans="1:13" ht="15.75">
      <c r="A87" s="8" t="s">
        <v>54</v>
      </c>
      <c r="B87" s="10" t="s">
        <v>27</v>
      </c>
      <c r="C87" s="6"/>
      <c r="D87" s="12" t="s">
        <v>33</v>
      </c>
      <c r="E87" s="14" t="s">
        <v>29</v>
      </c>
      <c r="F87" s="13" t="s">
        <v>195</v>
      </c>
      <c r="H87" s="8" t="s">
        <v>54</v>
      </c>
      <c r="I87" s="10" t="s">
        <v>27</v>
      </c>
      <c r="J87" s="6"/>
      <c r="K87" s="12" t="s">
        <v>12</v>
      </c>
      <c r="L87" s="14" t="s">
        <v>13</v>
      </c>
      <c r="M87" s="13" t="s">
        <v>196</v>
      </c>
    </row>
    <row r="88" spans="1:13" ht="15.75">
      <c r="A88" s="8" t="s">
        <v>59</v>
      </c>
      <c r="B88" s="10" t="s">
        <v>60</v>
      </c>
      <c r="C88" s="15"/>
      <c r="D88" s="12" t="s">
        <v>33</v>
      </c>
      <c r="E88" s="14" t="s">
        <v>186</v>
      </c>
      <c r="F88" s="13" t="s">
        <v>197</v>
      </c>
      <c r="H88" s="8" t="s">
        <v>59</v>
      </c>
      <c r="I88" s="10" t="s">
        <v>62</v>
      </c>
      <c r="J88" s="15"/>
      <c r="K88" s="17" t="s">
        <v>28</v>
      </c>
      <c r="L88" s="18" t="s">
        <v>125</v>
      </c>
      <c r="M88" s="19" t="s">
        <v>198</v>
      </c>
    </row>
    <row r="89" spans="1:13" ht="15.75">
      <c r="A89" s="8" t="s">
        <v>64</v>
      </c>
      <c r="B89" s="10" t="s">
        <v>65</v>
      </c>
      <c r="C89" s="15"/>
      <c r="D89" s="12" t="s">
        <v>33</v>
      </c>
      <c r="E89" s="14" t="s">
        <v>17</v>
      </c>
      <c r="F89" s="13" t="s">
        <v>199</v>
      </c>
      <c r="H89" s="8" t="s">
        <v>64</v>
      </c>
      <c r="I89" s="10" t="s">
        <v>65</v>
      </c>
      <c r="J89" s="15"/>
      <c r="K89" s="17" t="s">
        <v>28</v>
      </c>
      <c r="L89" s="18" t="s">
        <v>57</v>
      </c>
      <c r="M89" s="22" t="s">
        <v>200</v>
      </c>
    </row>
    <row r="90" spans="1:13" ht="15.75">
      <c r="A90" s="25"/>
      <c r="B90" s="25"/>
      <c r="C90" s="25"/>
      <c r="D90" s="25"/>
      <c r="E90" s="25"/>
      <c r="F90" s="25"/>
      <c r="H90" s="25"/>
      <c r="I90" s="25"/>
      <c r="J90" s="25"/>
      <c r="K90" s="25"/>
      <c r="L90" s="25"/>
      <c r="M90" s="25"/>
    </row>
    <row r="91" spans="1:8" ht="15.75">
      <c r="A91" s="1" t="s">
        <v>201</v>
      </c>
      <c r="H91" s="1" t="s">
        <v>202</v>
      </c>
    </row>
    <row r="92" ht="15.75">
      <c r="B92" s="3"/>
    </row>
    <row r="93" spans="1:13" ht="15.75">
      <c r="A93" s="4" t="s">
        <v>2</v>
      </c>
      <c r="B93" s="5" t="s">
        <v>3</v>
      </c>
      <c r="C93" s="6" t="s">
        <v>4</v>
      </c>
      <c r="D93" s="8" t="s">
        <v>2</v>
      </c>
      <c r="E93" s="8" t="s">
        <v>5</v>
      </c>
      <c r="F93" s="8" t="s">
        <v>6</v>
      </c>
      <c r="H93" s="4" t="s">
        <v>2</v>
      </c>
      <c r="I93" s="5" t="s">
        <v>3</v>
      </c>
      <c r="J93" s="6" t="s">
        <v>4</v>
      </c>
      <c r="K93" s="8" t="s">
        <v>2</v>
      </c>
      <c r="L93" s="8" t="s">
        <v>5</v>
      </c>
      <c r="M93" s="8" t="s">
        <v>6</v>
      </c>
    </row>
    <row r="94" spans="1:13" ht="15.75">
      <c r="A94" s="4" t="s">
        <v>7</v>
      </c>
      <c r="B94" s="10" t="s">
        <v>8</v>
      </c>
      <c r="C94" s="11"/>
      <c r="D94" s="12" t="s">
        <v>33</v>
      </c>
      <c r="E94" s="14" t="s">
        <v>10</v>
      </c>
      <c r="F94" s="13" t="s">
        <v>203</v>
      </c>
      <c r="H94" s="4" t="s">
        <v>7</v>
      </c>
      <c r="I94" s="10" t="s">
        <v>8</v>
      </c>
      <c r="J94" s="11"/>
      <c r="K94" s="20" t="s">
        <v>12</v>
      </c>
      <c r="L94" s="21" t="s">
        <v>140</v>
      </c>
      <c r="M94" s="13" t="s">
        <v>204</v>
      </c>
    </row>
    <row r="95" spans="1:13" ht="15.75">
      <c r="A95" s="4" t="s">
        <v>15</v>
      </c>
      <c r="B95" s="10" t="s">
        <v>16</v>
      </c>
      <c r="C95" s="15"/>
      <c r="D95" s="18" t="s">
        <v>93</v>
      </c>
      <c r="E95" s="18" t="s">
        <v>125</v>
      </c>
      <c r="F95" s="19" t="s">
        <v>205</v>
      </c>
      <c r="H95" s="4" t="s">
        <v>15</v>
      </c>
      <c r="I95" s="10" t="s">
        <v>16</v>
      </c>
      <c r="J95" s="15"/>
      <c r="K95" s="12" t="s">
        <v>12</v>
      </c>
      <c r="L95" s="14" t="s">
        <v>29</v>
      </c>
      <c r="M95" s="13" t="s">
        <v>206</v>
      </c>
    </row>
    <row r="96" spans="1:13" ht="15.75">
      <c r="A96" s="4" t="s">
        <v>22</v>
      </c>
      <c r="B96" s="10" t="s">
        <v>23</v>
      </c>
      <c r="C96" s="15"/>
      <c r="D96" s="12" t="s">
        <v>40</v>
      </c>
      <c r="E96" s="14"/>
      <c r="F96" s="13" t="s">
        <v>207</v>
      </c>
      <c r="H96" s="4" t="s">
        <v>22</v>
      </c>
      <c r="I96" s="10" t="s">
        <v>23</v>
      </c>
      <c r="J96" s="15"/>
      <c r="K96" s="12" t="s">
        <v>33</v>
      </c>
      <c r="L96" s="14" t="s">
        <v>84</v>
      </c>
      <c r="M96" s="13" t="s">
        <v>208</v>
      </c>
    </row>
    <row r="97" spans="1:13" ht="15.75">
      <c r="A97" s="4" t="s">
        <v>31</v>
      </c>
      <c r="B97" s="10" t="s">
        <v>32</v>
      </c>
      <c r="C97" s="6"/>
      <c r="D97" s="12" t="s">
        <v>12</v>
      </c>
      <c r="E97" s="14" t="s">
        <v>10</v>
      </c>
      <c r="F97" s="13" t="s">
        <v>209</v>
      </c>
      <c r="H97" s="4" t="s">
        <v>31</v>
      </c>
      <c r="I97" s="10" t="s">
        <v>32</v>
      </c>
      <c r="J97" s="6"/>
      <c r="K97" s="12" t="s">
        <v>40</v>
      </c>
      <c r="L97" s="14" t="s">
        <v>36</v>
      </c>
      <c r="M97" s="13" t="s">
        <v>210</v>
      </c>
    </row>
    <row r="98" spans="1:13" ht="15.75">
      <c r="A98" s="4" t="s">
        <v>38</v>
      </c>
      <c r="B98" s="10" t="s">
        <v>39</v>
      </c>
      <c r="C98" s="15"/>
      <c r="D98" s="12" t="s">
        <v>211</v>
      </c>
      <c r="E98" s="14" t="s">
        <v>81</v>
      </c>
      <c r="F98" s="13" t="s">
        <v>212</v>
      </c>
      <c r="H98" s="4" t="s">
        <v>38</v>
      </c>
      <c r="I98" s="10" t="s">
        <v>39</v>
      </c>
      <c r="J98" s="15"/>
      <c r="K98" s="12" t="s">
        <v>19</v>
      </c>
      <c r="L98" s="14" t="s">
        <v>57</v>
      </c>
      <c r="M98" s="13" t="s">
        <v>213</v>
      </c>
    </row>
    <row r="99" spans="1:13" ht="15.75">
      <c r="A99" s="4" t="s">
        <v>44</v>
      </c>
      <c r="B99" s="10" t="s">
        <v>45</v>
      </c>
      <c r="C99" s="15"/>
      <c r="D99" s="12" t="s">
        <v>12</v>
      </c>
      <c r="E99" s="14" t="s">
        <v>41</v>
      </c>
      <c r="F99" s="13" t="s">
        <v>214</v>
      </c>
      <c r="H99" s="4" t="s">
        <v>44</v>
      </c>
      <c r="I99" s="10" t="s">
        <v>45</v>
      </c>
      <c r="J99" s="15"/>
      <c r="K99" s="12" t="s">
        <v>12</v>
      </c>
      <c r="L99" s="14" t="s">
        <v>89</v>
      </c>
      <c r="M99" s="13" t="s">
        <v>215</v>
      </c>
    </row>
    <row r="100" spans="1:13" ht="15.75">
      <c r="A100" s="8" t="s">
        <v>48</v>
      </c>
      <c r="B100" s="10" t="s">
        <v>49</v>
      </c>
      <c r="C100" s="15"/>
      <c r="D100" s="17" t="s">
        <v>28</v>
      </c>
      <c r="E100" s="18" t="s">
        <v>78</v>
      </c>
      <c r="F100" s="22" t="s">
        <v>216</v>
      </c>
      <c r="H100" s="8" t="s">
        <v>48</v>
      </c>
      <c r="I100" s="10" t="s">
        <v>52</v>
      </c>
      <c r="J100" s="15"/>
      <c r="K100" s="12" t="s">
        <v>40</v>
      </c>
      <c r="L100" s="14" t="s">
        <v>89</v>
      </c>
      <c r="M100" s="13" t="s">
        <v>217</v>
      </c>
    </row>
    <row r="101" spans="1:13" ht="15.75">
      <c r="A101" s="8" t="s">
        <v>54</v>
      </c>
      <c r="B101" s="10" t="s">
        <v>27</v>
      </c>
      <c r="C101" s="6"/>
      <c r="D101" s="12" t="s">
        <v>33</v>
      </c>
      <c r="E101" s="14" t="s">
        <v>120</v>
      </c>
      <c r="F101" s="13" t="s">
        <v>218</v>
      </c>
      <c r="H101" s="8" t="s">
        <v>54</v>
      </c>
      <c r="I101" s="10" t="s">
        <v>27</v>
      </c>
      <c r="J101" s="6"/>
      <c r="K101" s="12" t="s">
        <v>40</v>
      </c>
      <c r="L101" s="14" t="s">
        <v>29</v>
      </c>
      <c r="M101" s="13" t="s">
        <v>219</v>
      </c>
    </row>
    <row r="102" spans="1:13" ht="15.75">
      <c r="A102" s="8" t="s">
        <v>59</v>
      </c>
      <c r="B102" s="10" t="s">
        <v>60</v>
      </c>
      <c r="C102" s="15"/>
      <c r="D102" s="12" t="s">
        <v>12</v>
      </c>
      <c r="E102" s="14" t="s">
        <v>186</v>
      </c>
      <c r="F102" s="13" t="s">
        <v>220</v>
      </c>
      <c r="H102" s="8" t="s">
        <v>59</v>
      </c>
      <c r="I102" s="10" t="s">
        <v>62</v>
      </c>
      <c r="J102" s="15"/>
      <c r="K102" s="28" t="s">
        <v>40</v>
      </c>
      <c r="L102" s="28" t="s">
        <v>103</v>
      </c>
      <c r="M102" s="8" t="s">
        <v>221</v>
      </c>
    </row>
    <row r="103" spans="1:13" ht="15.75">
      <c r="A103" s="8" t="s">
        <v>64</v>
      </c>
      <c r="B103" s="10" t="s">
        <v>65</v>
      </c>
      <c r="C103" s="15"/>
      <c r="D103" s="12" t="s">
        <v>33</v>
      </c>
      <c r="E103" s="14" t="s">
        <v>34</v>
      </c>
      <c r="F103" s="13" t="s">
        <v>222</v>
      </c>
      <c r="H103" s="8" t="s">
        <v>64</v>
      </c>
      <c r="I103" s="10" t="s">
        <v>65</v>
      </c>
      <c r="J103" s="15"/>
      <c r="K103" s="12" t="s">
        <v>40</v>
      </c>
      <c r="L103" s="14" t="s">
        <v>140</v>
      </c>
      <c r="M103" s="13" t="s">
        <v>223</v>
      </c>
    </row>
    <row r="104" spans="1:13" ht="15.75">
      <c r="A104" s="25"/>
      <c r="B104" s="25"/>
      <c r="C104" s="25"/>
      <c r="D104" s="25"/>
      <c r="E104" s="25"/>
      <c r="F104" s="25"/>
      <c r="H104" s="25"/>
      <c r="I104" s="25"/>
      <c r="J104" s="25"/>
      <c r="K104" s="25"/>
      <c r="L104" s="25"/>
      <c r="M104" s="25"/>
    </row>
    <row r="105" spans="1:8" ht="15.75">
      <c r="A105" s="1" t="s">
        <v>224</v>
      </c>
      <c r="H105" s="1" t="s">
        <v>225</v>
      </c>
    </row>
    <row r="106" ht="15.75">
      <c r="B106" s="3"/>
    </row>
    <row r="107" spans="1:13" ht="15.75">
      <c r="A107" s="4" t="s">
        <v>2</v>
      </c>
      <c r="B107" s="5" t="s">
        <v>3</v>
      </c>
      <c r="C107" s="6" t="s">
        <v>4</v>
      </c>
      <c r="D107" s="8" t="s">
        <v>2</v>
      </c>
      <c r="E107" s="8" t="s">
        <v>5</v>
      </c>
      <c r="F107" s="8" t="s">
        <v>6</v>
      </c>
      <c r="H107" s="4" t="s">
        <v>2</v>
      </c>
      <c r="I107" s="5" t="s">
        <v>3</v>
      </c>
      <c r="J107" s="6" t="s">
        <v>4</v>
      </c>
      <c r="K107" s="8" t="s">
        <v>2</v>
      </c>
      <c r="L107" s="8" t="s">
        <v>5</v>
      </c>
      <c r="M107" s="8" t="s">
        <v>6</v>
      </c>
    </row>
    <row r="108" spans="1:13" ht="15.75">
      <c r="A108" s="4" t="s">
        <v>7</v>
      </c>
      <c r="B108" s="10" t="s">
        <v>8</v>
      </c>
      <c r="C108" s="11"/>
      <c r="D108" s="20"/>
      <c r="E108" s="21"/>
      <c r="F108" s="13" t="s">
        <v>226</v>
      </c>
      <c r="H108" s="4" t="s">
        <v>7</v>
      </c>
      <c r="I108" s="10" t="s">
        <v>8</v>
      </c>
      <c r="J108" s="11"/>
      <c r="K108" s="20" t="s">
        <v>40</v>
      </c>
      <c r="L108" s="21" t="s">
        <v>154</v>
      </c>
      <c r="M108" s="13" t="s">
        <v>227</v>
      </c>
    </row>
    <row r="109" spans="1:13" ht="15.75">
      <c r="A109" s="4" t="s">
        <v>15</v>
      </c>
      <c r="B109" s="10" t="s">
        <v>16</v>
      </c>
      <c r="C109" s="15"/>
      <c r="D109" s="4"/>
      <c r="E109" s="4"/>
      <c r="F109" s="8" t="s">
        <v>228</v>
      </c>
      <c r="H109" s="4" t="s">
        <v>15</v>
      </c>
      <c r="I109" s="10" t="s">
        <v>16</v>
      </c>
      <c r="J109" s="15"/>
      <c r="K109" s="12" t="s">
        <v>12</v>
      </c>
      <c r="L109" s="14" t="s">
        <v>17</v>
      </c>
      <c r="M109" s="13" t="s">
        <v>229</v>
      </c>
    </row>
    <row r="110" spans="1:13" ht="15.75">
      <c r="A110" s="4" t="s">
        <v>22</v>
      </c>
      <c r="B110" s="16" t="s">
        <v>23</v>
      </c>
      <c r="C110" s="15" t="s">
        <v>32</v>
      </c>
      <c r="D110" s="4"/>
      <c r="E110" s="4"/>
      <c r="F110" s="8" t="s">
        <v>230</v>
      </c>
      <c r="H110" s="4" t="s">
        <v>22</v>
      </c>
      <c r="I110" s="10" t="s">
        <v>23</v>
      </c>
      <c r="J110" s="15"/>
      <c r="K110" s="12" t="s">
        <v>40</v>
      </c>
      <c r="L110" s="14" t="s">
        <v>105</v>
      </c>
      <c r="M110" s="13" t="s">
        <v>231</v>
      </c>
    </row>
    <row r="111" spans="1:13" ht="15.75">
      <c r="A111" s="4" t="s">
        <v>31</v>
      </c>
      <c r="B111" s="16" t="s">
        <v>32</v>
      </c>
      <c r="C111" s="6" t="s">
        <v>23</v>
      </c>
      <c r="D111" s="12" t="s">
        <v>33</v>
      </c>
      <c r="E111" s="14" t="s">
        <v>29</v>
      </c>
      <c r="F111" s="13" t="s">
        <v>232</v>
      </c>
      <c r="H111" s="4" t="s">
        <v>31</v>
      </c>
      <c r="I111" s="10" t="s">
        <v>32</v>
      </c>
      <c r="J111" s="6"/>
      <c r="K111" s="12" t="s">
        <v>33</v>
      </c>
      <c r="L111" s="14" t="s">
        <v>109</v>
      </c>
      <c r="M111" s="13" t="s">
        <v>233</v>
      </c>
    </row>
    <row r="112" spans="1:13" ht="15.75">
      <c r="A112" s="4" t="s">
        <v>38</v>
      </c>
      <c r="B112" s="10" t="s">
        <v>39</v>
      </c>
      <c r="C112" s="15"/>
      <c r="D112" s="4"/>
      <c r="E112" s="4"/>
      <c r="F112" s="8" t="s">
        <v>234</v>
      </c>
      <c r="H112" s="4" t="s">
        <v>38</v>
      </c>
      <c r="I112" s="10" t="s">
        <v>39</v>
      </c>
      <c r="J112" s="15"/>
      <c r="K112" s="12" t="s">
        <v>33</v>
      </c>
      <c r="L112" s="14" t="s">
        <v>25</v>
      </c>
      <c r="M112" s="13" t="s">
        <v>235</v>
      </c>
    </row>
    <row r="113" spans="1:13" ht="15.75">
      <c r="A113" s="4" t="s">
        <v>44</v>
      </c>
      <c r="B113" s="10" t="s">
        <v>45</v>
      </c>
      <c r="C113" s="15"/>
      <c r="D113" s="12" t="s">
        <v>12</v>
      </c>
      <c r="E113" s="14" t="s">
        <v>105</v>
      </c>
      <c r="F113" s="13" t="s">
        <v>236</v>
      </c>
      <c r="H113" s="4" t="s">
        <v>44</v>
      </c>
      <c r="I113" s="10" t="s">
        <v>45</v>
      </c>
      <c r="J113" s="15"/>
      <c r="K113" s="12" t="s">
        <v>33</v>
      </c>
      <c r="L113" s="14" t="s">
        <v>20</v>
      </c>
      <c r="M113" s="13" t="s">
        <v>237</v>
      </c>
    </row>
    <row r="114" spans="1:13" ht="15.75">
      <c r="A114" s="8" t="s">
        <v>48</v>
      </c>
      <c r="B114" s="10" t="s">
        <v>49</v>
      </c>
      <c r="C114" s="15"/>
      <c r="D114" s="29" t="s">
        <v>40</v>
      </c>
      <c r="E114" s="14" t="s">
        <v>75</v>
      </c>
      <c r="F114" s="13" t="s">
        <v>238</v>
      </c>
      <c r="H114" s="8" t="s">
        <v>48</v>
      </c>
      <c r="I114" s="10" t="s">
        <v>52</v>
      </c>
      <c r="J114" s="15"/>
      <c r="K114" s="12" t="s">
        <v>12</v>
      </c>
      <c r="L114" s="14" t="s">
        <v>89</v>
      </c>
      <c r="M114" s="13" t="s">
        <v>239</v>
      </c>
    </row>
    <row r="115" spans="1:13" ht="15.75">
      <c r="A115" s="8" t="s">
        <v>54</v>
      </c>
      <c r="B115" s="10" t="s">
        <v>27</v>
      </c>
      <c r="C115" s="6"/>
      <c r="D115" s="12" t="s">
        <v>24</v>
      </c>
      <c r="E115" s="14" t="s">
        <v>55</v>
      </c>
      <c r="F115" s="13" t="s">
        <v>240</v>
      </c>
      <c r="H115" s="8" t="s">
        <v>54</v>
      </c>
      <c r="I115" s="10" t="s">
        <v>27</v>
      </c>
      <c r="J115" s="6"/>
      <c r="K115" s="12" t="s">
        <v>33</v>
      </c>
      <c r="L115" s="14" t="s">
        <v>91</v>
      </c>
      <c r="M115" s="13" t="s">
        <v>241</v>
      </c>
    </row>
    <row r="116" spans="1:13" ht="15.75">
      <c r="A116" s="8" t="s">
        <v>59</v>
      </c>
      <c r="B116" s="10" t="s">
        <v>60</v>
      </c>
      <c r="C116" s="15"/>
      <c r="D116" s="4"/>
      <c r="E116" s="4"/>
      <c r="F116" s="8" t="s">
        <v>242</v>
      </c>
      <c r="H116" s="8" t="s">
        <v>59</v>
      </c>
      <c r="I116" s="10" t="s">
        <v>62</v>
      </c>
      <c r="J116" s="15"/>
      <c r="K116" s="20" t="s">
        <v>12</v>
      </c>
      <c r="L116" s="21" t="s">
        <v>105</v>
      </c>
      <c r="M116" s="13" t="s">
        <v>243</v>
      </c>
    </row>
    <row r="117" spans="1:13" ht="15.75">
      <c r="A117" s="8" t="s">
        <v>64</v>
      </c>
      <c r="B117" s="10" t="s">
        <v>65</v>
      </c>
      <c r="C117" s="15"/>
      <c r="D117" s="12" t="s">
        <v>33</v>
      </c>
      <c r="E117" s="14" t="s">
        <v>75</v>
      </c>
      <c r="F117" s="13" t="s">
        <v>244</v>
      </c>
      <c r="H117" s="8" t="s">
        <v>64</v>
      </c>
      <c r="I117" s="10" t="s">
        <v>65</v>
      </c>
      <c r="J117" s="15"/>
      <c r="K117" s="12" t="s">
        <v>33</v>
      </c>
      <c r="L117" s="14" t="s">
        <v>50</v>
      </c>
      <c r="M117" s="13" t="s">
        <v>245</v>
      </c>
    </row>
    <row r="118" spans="1:13" ht="15.75">
      <c r="A118" s="23"/>
      <c r="B118" s="24"/>
      <c r="C118" s="25"/>
      <c r="D118" s="25"/>
      <c r="E118" s="25"/>
      <c r="F118" s="25"/>
      <c r="H118" s="23"/>
      <c r="I118" s="24"/>
      <c r="J118" s="23"/>
      <c r="K118" s="25"/>
      <c r="L118" s="25"/>
      <c r="M118" s="25"/>
    </row>
    <row r="119" spans="1:8" ht="15.75">
      <c r="A119" s="1" t="s">
        <v>246</v>
      </c>
      <c r="H119" s="1" t="s">
        <v>247</v>
      </c>
    </row>
    <row r="120" ht="15.75">
      <c r="B120" s="3"/>
    </row>
    <row r="121" spans="1:13" ht="15.75">
      <c r="A121" s="4" t="s">
        <v>2</v>
      </c>
      <c r="B121" s="5" t="s">
        <v>3</v>
      </c>
      <c r="C121" s="6" t="s">
        <v>4</v>
      </c>
      <c r="D121" s="8" t="s">
        <v>2</v>
      </c>
      <c r="E121" s="8" t="s">
        <v>5</v>
      </c>
      <c r="F121" s="8" t="s">
        <v>6</v>
      </c>
      <c r="H121" s="4" t="s">
        <v>2</v>
      </c>
      <c r="I121" s="5" t="s">
        <v>3</v>
      </c>
      <c r="J121" s="6" t="s">
        <v>4</v>
      </c>
      <c r="K121" s="8" t="s">
        <v>2</v>
      </c>
      <c r="L121" s="8" t="s">
        <v>5</v>
      </c>
      <c r="M121" s="8" t="s">
        <v>6</v>
      </c>
    </row>
    <row r="122" spans="1:13" ht="15.75">
      <c r="A122" s="4" t="s">
        <v>7</v>
      </c>
      <c r="B122" s="10" t="s">
        <v>8</v>
      </c>
      <c r="C122" s="11"/>
      <c r="D122" s="12" t="s">
        <v>33</v>
      </c>
      <c r="E122" s="14" t="s">
        <v>20</v>
      </c>
      <c r="F122" s="13" t="s">
        <v>248</v>
      </c>
      <c r="H122" s="4" t="s">
        <v>7</v>
      </c>
      <c r="I122" s="10" t="s">
        <v>8</v>
      </c>
      <c r="J122" s="11"/>
      <c r="K122" s="17" t="s">
        <v>28</v>
      </c>
      <c r="L122" s="18" t="s">
        <v>89</v>
      </c>
      <c r="M122" s="22" t="s">
        <v>249</v>
      </c>
    </row>
    <row r="123" spans="1:13" ht="15.75">
      <c r="A123" s="4" t="s">
        <v>15</v>
      </c>
      <c r="B123" s="10" t="s">
        <v>16</v>
      </c>
      <c r="C123" s="15"/>
      <c r="D123" s="12" t="s">
        <v>33</v>
      </c>
      <c r="E123" s="14" t="s">
        <v>97</v>
      </c>
      <c r="F123" s="13" t="s">
        <v>250</v>
      </c>
      <c r="H123" s="4" t="s">
        <v>15</v>
      </c>
      <c r="I123" s="10" t="s">
        <v>16</v>
      </c>
      <c r="J123" s="15"/>
      <c r="K123" s="20" t="s">
        <v>12</v>
      </c>
      <c r="L123" s="21" t="s">
        <v>120</v>
      </c>
      <c r="M123" s="13" t="s">
        <v>251</v>
      </c>
    </row>
    <row r="124" spans="1:13" ht="15.75">
      <c r="A124" s="4" t="s">
        <v>22</v>
      </c>
      <c r="B124" s="10" t="s">
        <v>23</v>
      </c>
      <c r="C124" s="15"/>
      <c r="D124" s="12" t="s">
        <v>12</v>
      </c>
      <c r="E124" s="14" t="s">
        <v>36</v>
      </c>
      <c r="F124" s="13" t="s">
        <v>252</v>
      </c>
      <c r="H124" s="4" t="s">
        <v>22</v>
      </c>
      <c r="I124" s="10" t="s">
        <v>23</v>
      </c>
      <c r="J124" s="15"/>
      <c r="K124" s="12" t="s">
        <v>40</v>
      </c>
      <c r="L124" s="14" t="s">
        <v>41</v>
      </c>
      <c r="M124" s="13" t="s">
        <v>253</v>
      </c>
    </row>
    <row r="125" spans="1:13" ht="15.75">
      <c r="A125" s="4" t="s">
        <v>31</v>
      </c>
      <c r="B125" s="10" t="s">
        <v>32</v>
      </c>
      <c r="C125" s="6"/>
      <c r="D125" s="12" t="s">
        <v>12</v>
      </c>
      <c r="E125" s="14" t="s">
        <v>84</v>
      </c>
      <c r="F125" s="13" t="s">
        <v>254</v>
      </c>
      <c r="H125" s="4" t="s">
        <v>31</v>
      </c>
      <c r="I125" s="10" t="s">
        <v>32</v>
      </c>
      <c r="J125" s="6"/>
      <c r="K125" s="12" t="s">
        <v>12</v>
      </c>
      <c r="L125" s="14" t="s">
        <v>89</v>
      </c>
      <c r="M125" s="13" t="s">
        <v>255</v>
      </c>
    </row>
    <row r="126" spans="1:13" ht="15.75">
      <c r="A126" s="4" t="s">
        <v>38</v>
      </c>
      <c r="B126" s="10" t="s">
        <v>39</v>
      </c>
      <c r="C126" s="15"/>
      <c r="D126" s="12" t="s">
        <v>33</v>
      </c>
      <c r="E126" s="14" t="s">
        <v>84</v>
      </c>
      <c r="F126" s="13" t="s">
        <v>256</v>
      </c>
      <c r="H126" s="4" t="s">
        <v>38</v>
      </c>
      <c r="I126" s="10" t="s">
        <v>39</v>
      </c>
      <c r="J126" s="15"/>
      <c r="K126" s="20" t="s">
        <v>12</v>
      </c>
      <c r="L126" s="21" t="s">
        <v>105</v>
      </c>
      <c r="M126" s="13" t="s">
        <v>257</v>
      </c>
    </row>
    <row r="127" spans="1:13" ht="15.75">
      <c r="A127" s="4" t="s">
        <v>44</v>
      </c>
      <c r="B127" s="10" t="s">
        <v>45</v>
      </c>
      <c r="C127" s="15"/>
      <c r="D127" s="12" t="s">
        <v>19</v>
      </c>
      <c r="E127" s="14" t="s">
        <v>41</v>
      </c>
      <c r="F127" s="13" t="s">
        <v>258</v>
      </c>
      <c r="H127" s="4" t="s">
        <v>44</v>
      </c>
      <c r="I127" s="10" t="s">
        <v>45</v>
      </c>
      <c r="J127" s="15"/>
      <c r="K127" s="17" t="s">
        <v>28</v>
      </c>
      <c r="L127" s="18" t="s">
        <v>103</v>
      </c>
      <c r="M127" s="19" t="s">
        <v>259</v>
      </c>
    </row>
    <row r="128" spans="1:13" ht="15.75">
      <c r="A128" s="8" t="s">
        <v>48</v>
      </c>
      <c r="B128" s="10" t="s">
        <v>49</v>
      </c>
      <c r="C128" s="15"/>
      <c r="D128" s="12" t="s">
        <v>33</v>
      </c>
      <c r="E128" s="14" t="s">
        <v>41</v>
      </c>
      <c r="F128" s="13" t="s">
        <v>260</v>
      </c>
      <c r="H128" s="8" t="s">
        <v>48</v>
      </c>
      <c r="I128" s="10" t="s">
        <v>52</v>
      </c>
      <c r="J128" s="15"/>
      <c r="K128" s="12" t="s">
        <v>19</v>
      </c>
      <c r="L128" s="14" t="s">
        <v>89</v>
      </c>
      <c r="M128" s="13" t="s">
        <v>261</v>
      </c>
    </row>
    <row r="129" spans="1:13" ht="15.75">
      <c r="A129" s="8" t="s">
        <v>54</v>
      </c>
      <c r="B129" s="10" t="s">
        <v>27</v>
      </c>
      <c r="C129" s="6"/>
      <c r="D129" s="12" t="s">
        <v>19</v>
      </c>
      <c r="E129" s="14" t="s">
        <v>154</v>
      </c>
      <c r="F129" s="13" t="s">
        <v>262</v>
      </c>
      <c r="H129" s="8" t="s">
        <v>54</v>
      </c>
      <c r="I129" s="10" t="s">
        <v>27</v>
      </c>
      <c r="J129" s="6"/>
      <c r="K129" s="12" t="s">
        <v>33</v>
      </c>
      <c r="L129" s="14" t="s">
        <v>55</v>
      </c>
      <c r="M129" s="13" t="s">
        <v>263</v>
      </c>
    </row>
    <row r="130" spans="1:13" ht="15.75">
      <c r="A130" s="8" t="s">
        <v>59</v>
      </c>
      <c r="B130" s="10" t="s">
        <v>60</v>
      </c>
      <c r="C130" s="15"/>
      <c r="D130" s="12" t="s">
        <v>33</v>
      </c>
      <c r="E130" s="14" t="s">
        <v>57</v>
      </c>
      <c r="F130" s="13" t="s">
        <v>264</v>
      </c>
      <c r="H130" s="8" t="s">
        <v>59</v>
      </c>
      <c r="I130" s="10" t="s">
        <v>62</v>
      </c>
      <c r="J130" s="15"/>
      <c r="K130" s="12" t="s">
        <v>24</v>
      </c>
      <c r="L130" s="14" t="s">
        <v>78</v>
      </c>
      <c r="M130" s="13" t="s">
        <v>265</v>
      </c>
    </row>
    <row r="131" spans="1:13" ht="15.75">
      <c r="A131" s="8" t="s">
        <v>64</v>
      </c>
      <c r="B131" s="10" t="s">
        <v>65</v>
      </c>
      <c r="C131" s="15"/>
      <c r="D131" s="12" t="s">
        <v>12</v>
      </c>
      <c r="E131" s="14" t="s">
        <v>111</v>
      </c>
      <c r="F131" s="13" t="s">
        <v>266</v>
      </c>
      <c r="H131" s="8" t="s">
        <v>64</v>
      </c>
      <c r="I131" s="10" t="s">
        <v>65</v>
      </c>
      <c r="J131" s="15"/>
      <c r="K131" s="12" t="s">
        <v>12</v>
      </c>
      <c r="L131" s="14" t="s">
        <v>84</v>
      </c>
      <c r="M131" s="13" t="s">
        <v>267</v>
      </c>
    </row>
    <row r="133" spans="1:8" ht="15.75">
      <c r="A133" s="1" t="s">
        <v>268</v>
      </c>
      <c r="H133" s="1" t="s">
        <v>269</v>
      </c>
    </row>
    <row r="134" ht="15.75">
      <c r="B134" s="3"/>
    </row>
    <row r="135" spans="1:13" ht="15.75">
      <c r="A135" s="4" t="s">
        <v>2</v>
      </c>
      <c r="B135" s="5" t="s">
        <v>3</v>
      </c>
      <c r="C135" s="6" t="s">
        <v>4</v>
      </c>
      <c r="D135" s="8" t="s">
        <v>2</v>
      </c>
      <c r="E135" s="8" t="s">
        <v>5</v>
      </c>
      <c r="F135" s="8" t="s">
        <v>6</v>
      </c>
      <c r="H135" s="4" t="s">
        <v>2</v>
      </c>
      <c r="I135" s="5" t="s">
        <v>3</v>
      </c>
      <c r="J135" s="6" t="s">
        <v>4</v>
      </c>
      <c r="K135" s="8" t="s">
        <v>2</v>
      </c>
      <c r="L135" s="8" t="s">
        <v>5</v>
      </c>
      <c r="M135" s="8" t="s">
        <v>6</v>
      </c>
    </row>
    <row r="136" spans="1:13" ht="15.75">
      <c r="A136" s="4" t="s">
        <v>7</v>
      </c>
      <c r="B136" s="10" t="s">
        <v>8</v>
      </c>
      <c r="C136" s="11"/>
      <c r="D136" s="12" t="s">
        <v>12</v>
      </c>
      <c r="E136" s="14" t="s">
        <v>34</v>
      </c>
      <c r="F136" s="13" t="s">
        <v>270</v>
      </c>
      <c r="H136" s="4" t="s">
        <v>7</v>
      </c>
      <c r="I136" s="10" t="s">
        <v>8</v>
      </c>
      <c r="J136" s="11"/>
      <c r="K136" s="12" t="s">
        <v>40</v>
      </c>
      <c r="L136" s="14" t="s">
        <v>25</v>
      </c>
      <c r="M136" s="13" t="s">
        <v>271</v>
      </c>
    </row>
    <row r="137" spans="1:13" ht="15.75">
      <c r="A137" s="4" t="s">
        <v>15</v>
      </c>
      <c r="B137" s="10" t="s">
        <v>16</v>
      </c>
      <c r="C137" s="15"/>
      <c r="D137" s="12" t="s">
        <v>33</v>
      </c>
      <c r="E137" s="14" t="s">
        <v>91</v>
      </c>
      <c r="F137" s="13" t="s">
        <v>272</v>
      </c>
      <c r="H137" s="4" t="s">
        <v>15</v>
      </c>
      <c r="I137" s="10" t="s">
        <v>16</v>
      </c>
      <c r="J137" s="15"/>
      <c r="K137" s="12" t="s">
        <v>40</v>
      </c>
      <c r="L137" s="14" t="s">
        <v>118</v>
      </c>
      <c r="M137" s="13" t="s">
        <v>273</v>
      </c>
    </row>
    <row r="138" spans="1:13" ht="15.75">
      <c r="A138" s="4" t="s">
        <v>22</v>
      </c>
      <c r="B138" s="10" t="s">
        <v>23</v>
      </c>
      <c r="C138" s="15"/>
      <c r="D138" s="12" t="s">
        <v>19</v>
      </c>
      <c r="E138" s="14" t="s">
        <v>75</v>
      </c>
      <c r="F138" s="13" t="s">
        <v>274</v>
      </c>
      <c r="H138" s="4" t="s">
        <v>22</v>
      </c>
      <c r="I138" s="10" t="s">
        <v>23</v>
      </c>
      <c r="J138" s="15"/>
      <c r="K138" s="12" t="s">
        <v>40</v>
      </c>
      <c r="L138" s="14" t="s">
        <v>91</v>
      </c>
      <c r="M138" s="13" t="s">
        <v>275</v>
      </c>
    </row>
    <row r="139" spans="1:13" ht="15.75">
      <c r="A139" s="4" t="s">
        <v>31</v>
      </c>
      <c r="B139" s="10" t="s">
        <v>32</v>
      </c>
      <c r="C139" s="6"/>
      <c r="D139" s="12" t="s">
        <v>12</v>
      </c>
      <c r="E139" s="14" t="s">
        <v>29</v>
      </c>
      <c r="F139" s="13" t="s">
        <v>276</v>
      </c>
      <c r="H139" s="4" t="s">
        <v>31</v>
      </c>
      <c r="I139" s="10" t="s">
        <v>32</v>
      </c>
      <c r="J139" s="6"/>
      <c r="K139" s="12" t="s">
        <v>33</v>
      </c>
      <c r="L139" s="14" t="s">
        <v>91</v>
      </c>
      <c r="M139" s="13" t="s">
        <v>277</v>
      </c>
    </row>
    <row r="140" spans="1:13" ht="15.75">
      <c r="A140" s="4" t="s">
        <v>38</v>
      </c>
      <c r="B140" s="10" t="s">
        <v>39</v>
      </c>
      <c r="C140" s="15"/>
      <c r="D140" s="12" t="s">
        <v>40</v>
      </c>
      <c r="E140" s="14" t="s">
        <v>13</v>
      </c>
      <c r="F140" s="13" t="s">
        <v>278</v>
      </c>
      <c r="H140" s="4" t="s">
        <v>38</v>
      </c>
      <c r="I140" s="10" t="s">
        <v>39</v>
      </c>
      <c r="J140" s="15"/>
      <c r="K140" s="12" t="s">
        <v>33</v>
      </c>
      <c r="L140" s="14" t="s">
        <v>105</v>
      </c>
      <c r="M140" s="13" t="s">
        <v>279</v>
      </c>
    </row>
    <row r="141" spans="1:13" ht="15.75">
      <c r="A141" s="4" t="s">
        <v>44</v>
      </c>
      <c r="B141" s="10" t="s">
        <v>45</v>
      </c>
      <c r="C141" s="15"/>
      <c r="D141" s="12" t="s">
        <v>12</v>
      </c>
      <c r="E141" s="14" t="s">
        <v>118</v>
      </c>
      <c r="F141" s="13" t="s">
        <v>280</v>
      </c>
      <c r="H141" s="4" t="s">
        <v>44</v>
      </c>
      <c r="I141" s="10" t="s">
        <v>45</v>
      </c>
      <c r="J141" s="15"/>
      <c r="K141" s="12" t="s">
        <v>19</v>
      </c>
      <c r="L141" s="14" t="s">
        <v>57</v>
      </c>
      <c r="M141" s="13" t="s">
        <v>281</v>
      </c>
    </row>
    <row r="142" spans="1:13" ht="15.75">
      <c r="A142" s="8" t="s">
        <v>48</v>
      </c>
      <c r="B142" s="10" t="s">
        <v>49</v>
      </c>
      <c r="C142" s="15"/>
      <c r="D142" s="12" t="s">
        <v>12</v>
      </c>
      <c r="E142" s="14" t="s">
        <v>25</v>
      </c>
      <c r="F142" s="13" t="s">
        <v>282</v>
      </c>
      <c r="H142" s="8" t="s">
        <v>48</v>
      </c>
      <c r="I142" s="10" t="s">
        <v>52</v>
      </c>
      <c r="J142" s="15"/>
      <c r="K142" s="12" t="s">
        <v>12</v>
      </c>
      <c r="L142" s="14" t="s">
        <v>118</v>
      </c>
      <c r="M142" s="13" t="s">
        <v>283</v>
      </c>
    </row>
    <row r="143" spans="1:13" ht="15.75">
      <c r="A143" s="8" t="s">
        <v>54</v>
      </c>
      <c r="B143" s="10" t="s">
        <v>27</v>
      </c>
      <c r="C143" s="6"/>
      <c r="D143" s="20" t="s">
        <v>12</v>
      </c>
      <c r="E143" s="21" t="s">
        <v>103</v>
      </c>
      <c r="F143" s="13" t="s">
        <v>284</v>
      </c>
      <c r="H143" s="8" t="s">
        <v>54</v>
      </c>
      <c r="I143" s="10" t="s">
        <v>27</v>
      </c>
      <c r="J143" s="6"/>
      <c r="K143" s="12" t="s">
        <v>9</v>
      </c>
      <c r="L143" s="14" t="s">
        <v>78</v>
      </c>
      <c r="M143" s="13" t="s">
        <v>285</v>
      </c>
    </row>
    <row r="144" spans="1:13" ht="15.75">
      <c r="A144" s="8" t="s">
        <v>59</v>
      </c>
      <c r="B144" s="10" t="s">
        <v>60</v>
      </c>
      <c r="C144" s="15"/>
      <c r="D144" s="12" t="s">
        <v>40</v>
      </c>
      <c r="E144" s="14" t="s">
        <v>125</v>
      </c>
      <c r="F144" s="13" t="s">
        <v>286</v>
      </c>
      <c r="H144" s="8" t="s">
        <v>59</v>
      </c>
      <c r="I144" s="10" t="s">
        <v>62</v>
      </c>
      <c r="J144" s="15"/>
      <c r="K144" s="17" t="s">
        <v>28</v>
      </c>
      <c r="L144" s="18" t="s">
        <v>75</v>
      </c>
      <c r="M144" s="19" t="s">
        <v>287</v>
      </c>
    </row>
    <row r="145" spans="1:13" ht="15.75">
      <c r="A145" s="8" t="s">
        <v>64</v>
      </c>
      <c r="B145" s="10" t="s">
        <v>65</v>
      </c>
      <c r="C145" s="15"/>
      <c r="D145" s="12" t="s">
        <v>12</v>
      </c>
      <c r="E145" s="14" t="s">
        <v>57</v>
      </c>
      <c r="F145" s="13" t="s">
        <v>288</v>
      </c>
      <c r="H145" s="8" t="s">
        <v>64</v>
      </c>
      <c r="I145" s="10" t="s">
        <v>65</v>
      </c>
      <c r="J145" s="15"/>
      <c r="K145" s="12" t="s">
        <v>289</v>
      </c>
      <c r="L145" s="14" t="s">
        <v>50</v>
      </c>
      <c r="M145" s="13" t="s">
        <v>290</v>
      </c>
    </row>
    <row r="147" spans="1:8" ht="15.75">
      <c r="A147" s="1" t="s">
        <v>291</v>
      </c>
      <c r="H147" s="1" t="s">
        <v>292</v>
      </c>
    </row>
    <row r="148" ht="15.75">
      <c r="B148" s="3"/>
    </row>
    <row r="149" spans="1:13" ht="15.75">
      <c r="A149" s="4" t="s">
        <v>2</v>
      </c>
      <c r="B149" s="5" t="s">
        <v>3</v>
      </c>
      <c r="C149" s="6" t="s">
        <v>4</v>
      </c>
      <c r="D149" s="8" t="s">
        <v>2</v>
      </c>
      <c r="E149" s="8" t="s">
        <v>5</v>
      </c>
      <c r="F149" s="8" t="s">
        <v>6</v>
      </c>
      <c r="H149" s="4" t="s">
        <v>2</v>
      </c>
      <c r="I149" s="5" t="s">
        <v>3</v>
      </c>
      <c r="J149" s="6" t="s">
        <v>4</v>
      </c>
      <c r="K149" s="8" t="s">
        <v>2</v>
      </c>
      <c r="L149" s="8" t="s">
        <v>5</v>
      </c>
      <c r="M149" s="8" t="s">
        <v>6</v>
      </c>
    </row>
    <row r="150" spans="1:13" ht="15.75">
      <c r="A150" s="4" t="s">
        <v>7</v>
      </c>
      <c r="B150" s="10" t="s">
        <v>8</v>
      </c>
      <c r="C150" s="11"/>
      <c r="D150" s="12" t="s">
        <v>33</v>
      </c>
      <c r="E150" s="14" t="s">
        <v>154</v>
      </c>
      <c r="F150" s="13" t="s">
        <v>293</v>
      </c>
      <c r="H150" s="4" t="s">
        <v>7</v>
      </c>
      <c r="I150" s="10" t="s">
        <v>8</v>
      </c>
      <c r="J150" s="11"/>
      <c r="K150" s="12" t="s">
        <v>12</v>
      </c>
      <c r="L150" s="14" t="s">
        <v>105</v>
      </c>
      <c r="M150" s="13" t="s">
        <v>294</v>
      </c>
    </row>
    <row r="151" spans="1:13" ht="15.75">
      <c r="A151" s="4" t="s">
        <v>15</v>
      </c>
      <c r="B151" s="10" t="s">
        <v>16</v>
      </c>
      <c r="C151" s="15"/>
      <c r="D151" s="12" t="s">
        <v>12</v>
      </c>
      <c r="E151" s="14" t="s">
        <v>25</v>
      </c>
      <c r="F151" s="13" t="s">
        <v>295</v>
      </c>
      <c r="H151" s="4" t="s">
        <v>15</v>
      </c>
      <c r="I151" s="10" t="s">
        <v>16</v>
      </c>
      <c r="J151" s="15"/>
      <c r="K151" s="12" t="s">
        <v>40</v>
      </c>
      <c r="L151" s="14" t="s">
        <v>13</v>
      </c>
      <c r="M151" s="13" t="s">
        <v>296</v>
      </c>
    </row>
    <row r="152" spans="1:13" ht="15.75">
      <c r="A152" s="4" t="s">
        <v>22</v>
      </c>
      <c r="B152" s="10" t="s">
        <v>23</v>
      </c>
      <c r="C152" s="15"/>
      <c r="D152" s="12" t="s">
        <v>40</v>
      </c>
      <c r="E152" s="14" t="s">
        <v>50</v>
      </c>
      <c r="F152" s="13" t="s">
        <v>297</v>
      </c>
      <c r="H152" s="4" t="s">
        <v>22</v>
      </c>
      <c r="I152" s="10" t="s">
        <v>23</v>
      </c>
      <c r="J152" s="15"/>
      <c r="K152" s="12" t="s">
        <v>33</v>
      </c>
      <c r="L152" s="14" t="s">
        <v>50</v>
      </c>
      <c r="M152" s="13" t="s">
        <v>298</v>
      </c>
    </row>
    <row r="153" spans="1:13" ht="15.75">
      <c r="A153" s="4" t="s">
        <v>31</v>
      </c>
      <c r="B153" s="10" t="s">
        <v>32</v>
      </c>
      <c r="C153" s="6"/>
      <c r="D153" s="12" t="s">
        <v>40</v>
      </c>
      <c r="E153" s="14" t="s">
        <v>186</v>
      </c>
      <c r="F153" s="13" t="s">
        <v>299</v>
      </c>
      <c r="H153" s="4" t="s">
        <v>31</v>
      </c>
      <c r="I153" s="10" t="s">
        <v>32</v>
      </c>
      <c r="J153" s="6"/>
      <c r="K153" s="12" t="s">
        <v>19</v>
      </c>
      <c r="L153" s="14" t="s">
        <v>41</v>
      </c>
      <c r="M153" s="13" t="s">
        <v>300</v>
      </c>
    </row>
    <row r="154" spans="1:13" ht="15.75">
      <c r="A154" s="4" t="s">
        <v>38</v>
      </c>
      <c r="B154" s="10" t="s">
        <v>39</v>
      </c>
      <c r="C154" s="15"/>
      <c r="D154" s="12" t="s">
        <v>24</v>
      </c>
      <c r="E154" s="14" t="s">
        <v>109</v>
      </c>
      <c r="F154" s="13" t="s">
        <v>301</v>
      </c>
      <c r="H154" s="4" t="s">
        <v>38</v>
      </c>
      <c r="I154" s="10" t="s">
        <v>39</v>
      </c>
      <c r="J154" s="15"/>
      <c r="K154" s="18" t="s">
        <v>28</v>
      </c>
      <c r="L154" s="18" t="s">
        <v>103</v>
      </c>
      <c r="M154" s="22" t="s">
        <v>302</v>
      </c>
    </row>
    <row r="155" spans="1:13" ht="15.75">
      <c r="A155" s="4" t="s">
        <v>44</v>
      </c>
      <c r="B155" s="10" t="s">
        <v>45</v>
      </c>
      <c r="C155" s="15"/>
      <c r="D155" s="12" t="s">
        <v>24</v>
      </c>
      <c r="E155" s="14" t="s">
        <v>97</v>
      </c>
      <c r="F155" s="13" t="s">
        <v>303</v>
      </c>
      <c r="H155" s="4" t="s">
        <v>44</v>
      </c>
      <c r="I155" s="10" t="s">
        <v>45</v>
      </c>
      <c r="J155" s="15"/>
      <c r="K155" s="12" t="s">
        <v>40</v>
      </c>
      <c r="L155" s="14" t="s">
        <v>78</v>
      </c>
      <c r="M155" s="13" t="s">
        <v>304</v>
      </c>
    </row>
    <row r="156" spans="1:13" ht="15.75">
      <c r="A156" s="8" t="s">
        <v>48</v>
      </c>
      <c r="B156" s="10" t="s">
        <v>49</v>
      </c>
      <c r="C156" s="15"/>
      <c r="D156" s="12" t="s">
        <v>12</v>
      </c>
      <c r="E156" s="14" t="s">
        <v>97</v>
      </c>
      <c r="F156" s="13" t="s">
        <v>305</v>
      </c>
      <c r="H156" s="8" t="s">
        <v>48</v>
      </c>
      <c r="I156" s="10" t="s">
        <v>52</v>
      </c>
      <c r="J156" s="15"/>
      <c r="K156" s="12" t="s">
        <v>33</v>
      </c>
      <c r="L156" s="14" t="s">
        <v>97</v>
      </c>
      <c r="M156" s="13" t="s">
        <v>306</v>
      </c>
    </row>
    <row r="157" spans="1:13" ht="15.75">
      <c r="A157" s="8" t="s">
        <v>54</v>
      </c>
      <c r="B157" s="10" t="s">
        <v>27</v>
      </c>
      <c r="C157" s="6"/>
      <c r="D157" s="12" t="s">
        <v>12</v>
      </c>
      <c r="E157" s="14" t="s">
        <v>91</v>
      </c>
      <c r="F157" s="13" t="s">
        <v>307</v>
      </c>
      <c r="H157" s="8" t="s">
        <v>54</v>
      </c>
      <c r="I157" s="10" t="s">
        <v>27</v>
      </c>
      <c r="J157" s="6"/>
      <c r="K157" s="12" t="s">
        <v>33</v>
      </c>
      <c r="L157" s="14" t="s">
        <v>140</v>
      </c>
      <c r="M157" s="13" t="s">
        <v>308</v>
      </c>
    </row>
    <row r="158" spans="1:13" ht="15.75">
      <c r="A158" s="8" t="s">
        <v>59</v>
      </c>
      <c r="B158" s="10" t="s">
        <v>60</v>
      </c>
      <c r="C158" s="15"/>
      <c r="D158" s="14" t="s">
        <v>24</v>
      </c>
      <c r="E158" s="29" t="s">
        <v>78</v>
      </c>
      <c r="F158" s="13" t="s">
        <v>309</v>
      </c>
      <c r="H158" s="8" t="s">
        <v>59</v>
      </c>
      <c r="I158" s="10" t="s">
        <v>62</v>
      </c>
      <c r="J158" s="15"/>
      <c r="K158" s="12" t="s">
        <v>33</v>
      </c>
      <c r="L158" s="14" t="s">
        <v>13</v>
      </c>
      <c r="M158" s="13" t="s">
        <v>310</v>
      </c>
    </row>
    <row r="159" spans="1:13" ht="15.75">
      <c r="A159" s="8" t="s">
        <v>64</v>
      </c>
      <c r="B159" s="10" t="s">
        <v>65</v>
      </c>
      <c r="C159" s="15"/>
      <c r="D159" s="12" t="s">
        <v>33</v>
      </c>
      <c r="E159" s="14" t="s">
        <v>89</v>
      </c>
      <c r="F159" s="13" t="s">
        <v>311</v>
      </c>
      <c r="H159" s="8" t="s">
        <v>64</v>
      </c>
      <c r="I159" s="10" t="s">
        <v>65</v>
      </c>
      <c r="J159" s="15"/>
      <c r="K159" s="12" t="s">
        <v>40</v>
      </c>
      <c r="L159" s="14" t="s">
        <v>111</v>
      </c>
      <c r="M159" s="13" t="s">
        <v>312</v>
      </c>
    </row>
    <row r="161" spans="1:8" ht="15.75">
      <c r="A161" s="1" t="s">
        <v>313</v>
      </c>
      <c r="H161" s="1" t="s">
        <v>314</v>
      </c>
    </row>
    <row r="162" ht="15.75">
      <c r="B162" s="3"/>
    </row>
    <row r="163" spans="1:13" ht="15.75">
      <c r="A163" s="4" t="s">
        <v>2</v>
      </c>
      <c r="B163" s="5" t="s">
        <v>3</v>
      </c>
      <c r="C163" s="6" t="s">
        <v>4</v>
      </c>
      <c r="D163" s="8" t="s">
        <v>2</v>
      </c>
      <c r="E163" s="8" t="s">
        <v>5</v>
      </c>
      <c r="F163" s="8" t="s">
        <v>6</v>
      </c>
      <c r="H163" s="4" t="s">
        <v>2</v>
      </c>
      <c r="I163" s="5" t="s">
        <v>3</v>
      </c>
      <c r="J163" s="6" t="s">
        <v>4</v>
      </c>
      <c r="K163" s="8" t="s">
        <v>2</v>
      </c>
      <c r="L163" s="8" t="s">
        <v>5</v>
      </c>
      <c r="M163" s="8" t="s">
        <v>6</v>
      </c>
    </row>
    <row r="164" spans="1:13" ht="15.75">
      <c r="A164" s="4" t="s">
        <v>7</v>
      </c>
      <c r="B164" s="16" t="s">
        <v>8</v>
      </c>
      <c r="C164" s="11"/>
      <c r="D164" s="12"/>
      <c r="E164" s="14"/>
      <c r="F164" s="13"/>
      <c r="H164" s="4" t="s">
        <v>7</v>
      </c>
      <c r="I164" s="16" t="s">
        <v>8</v>
      </c>
      <c r="J164" s="11"/>
      <c r="K164" s="12"/>
      <c r="L164" s="12"/>
      <c r="M164" s="13"/>
    </row>
    <row r="165" spans="1:13" ht="15.75">
      <c r="A165" s="4" t="s">
        <v>15</v>
      </c>
      <c r="B165" s="10" t="s">
        <v>16</v>
      </c>
      <c r="C165" s="15"/>
      <c r="D165" s="12" t="s">
        <v>33</v>
      </c>
      <c r="E165" s="14" t="s">
        <v>36</v>
      </c>
      <c r="F165" s="13" t="s">
        <v>315</v>
      </c>
      <c r="H165" s="4" t="s">
        <v>15</v>
      </c>
      <c r="I165" s="10" t="s">
        <v>16</v>
      </c>
      <c r="J165" s="15"/>
      <c r="K165" s="18" t="s">
        <v>289</v>
      </c>
      <c r="L165" s="18" t="s">
        <v>118</v>
      </c>
      <c r="M165" s="19" t="s">
        <v>316</v>
      </c>
    </row>
    <row r="166" spans="1:13" ht="15.75">
      <c r="A166" s="4" t="s">
        <v>22</v>
      </c>
      <c r="B166" s="10" t="s">
        <v>23</v>
      </c>
      <c r="C166" s="15"/>
      <c r="D166" s="12" t="s">
        <v>12</v>
      </c>
      <c r="E166" s="14" t="s">
        <v>140</v>
      </c>
      <c r="F166" s="13" t="s">
        <v>317</v>
      </c>
      <c r="H166" s="4" t="s">
        <v>22</v>
      </c>
      <c r="I166" s="10" t="s">
        <v>23</v>
      </c>
      <c r="J166" s="15"/>
      <c r="K166" s="12" t="s">
        <v>12</v>
      </c>
      <c r="L166" s="14" t="s">
        <v>125</v>
      </c>
      <c r="M166" s="13" t="s">
        <v>318</v>
      </c>
    </row>
    <row r="167" spans="1:13" ht="15.75">
      <c r="A167" s="4" t="s">
        <v>31</v>
      </c>
      <c r="B167" s="10" t="s">
        <v>32</v>
      </c>
      <c r="C167" s="6"/>
      <c r="D167" s="12" t="s">
        <v>24</v>
      </c>
      <c r="E167" s="14" t="s">
        <v>120</v>
      </c>
      <c r="F167" s="13" t="s">
        <v>319</v>
      </c>
      <c r="H167" s="4" t="s">
        <v>31</v>
      </c>
      <c r="I167" s="10" t="s">
        <v>32</v>
      </c>
      <c r="J167" s="6"/>
      <c r="K167" s="12" t="s">
        <v>12</v>
      </c>
      <c r="L167" s="14" t="s">
        <v>140</v>
      </c>
      <c r="M167" s="13" t="s">
        <v>320</v>
      </c>
    </row>
    <row r="168" spans="1:13" ht="15.75">
      <c r="A168" s="4" t="s">
        <v>38</v>
      </c>
      <c r="B168" s="10" t="s">
        <v>39</v>
      </c>
      <c r="C168" s="15"/>
      <c r="D168" s="20" t="s">
        <v>12</v>
      </c>
      <c r="E168" s="21" t="s">
        <v>120</v>
      </c>
      <c r="F168" s="13" t="s">
        <v>321</v>
      </c>
      <c r="H168" s="4" t="s">
        <v>38</v>
      </c>
      <c r="I168" s="10" t="s">
        <v>39</v>
      </c>
      <c r="J168" s="15"/>
      <c r="K168" s="12" t="s">
        <v>12</v>
      </c>
      <c r="L168" s="14" t="s">
        <v>17</v>
      </c>
      <c r="M168" s="13" t="s">
        <v>322</v>
      </c>
    </row>
    <row r="169" spans="1:13" ht="15.75">
      <c r="A169" s="4" t="s">
        <v>44</v>
      </c>
      <c r="B169" s="10" t="s">
        <v>45</v>
      </c>
      <c r="C169" s="15"/>
      <c r="D169" s="12" t="s">
        <v>12</v>
      </c>
      <c r="E169" s="14" t="s">
        <v>125</v>
      </c>
      <c r="F169" s="13" t="s">
        <v>323</v>
      </c>
      <c r="H169" s="4" t="s">
        <v>44</v>
      </c>
      <c r="I169" s="10" t="s">
        <v>45</v>
      </c>
      <c r="J169" s="15"/>
      <c r="K169" s="18" t="s">
        <v>93</v>
      </c>
      <c r="L169" s="18" t="s">
        <v>50</v>
      </c>
      <c r="M169" s="19" t="s">
        <v>324</v>
      </c>
    </row>
    <row r="170" spans="1:13" ht="15.75">
      <c r="A170" s="8" t="s">
        <v>48</v>
      </c>
      <c r="B170" s="10" t="s">
        <v>49</v>
      </c>
      <c r="C170" s="15"/>
      <c r="D170" s="12" t="s">
        <v>12</v>
      </c>
      <c r="E170" s="14" t="s">
        <v>10</v>
      </c>
      <c r="F170" s="13" t="s">
        <v>325</v>
      </c>
      <c r="H170" s="8" t="s">
        <v>48</v>
      </c>
      <c r="I170" s="10" t="s">
        <v>52</v>
      </c>
      <c r="J170" s="15"/>
      <c r="K170" s="12" t="s">
        <v>12</v>
      </c>
      <c r="L170" s="14" t="s">
        <v>81</v>
      </c>
      <c r="M170" s="13" t="s">
        <v>326</v>
      </c>
    </row>
    <row r="171" spans="1:13" ht="15.75">
      <c r="A171" s="8" t="s">
        <v>54</v>
      </c>
      <c r="B171" s="10" t="s">
        <v>27</v>
      </c>
      <c r="C171" s="6"/>
      <c r="D171" s="12" t="s">
        <v>33</v>
      </c>
      <c r="E171" s="14" t="s">
        <v>29</v>
      </c>
      <c r="F171" s="13" t="s">
        <v>327</v>
      </c>
      <c r="H171" s="8" t="s">
        <v>54</v>
      </c>
      <c r="I171" s="10" t="s">
        <v>27</v>
      </c>
      <c r="J171" s="6"/>
      <c r="K171" s="12" t="s">
        <v>12</v>
      </c>
      <c r="L171" s="14" t="s">
        <v>41</v>
      </c>
      <c r="M171" s="13" t="s">
        <v>328</v>
      </c>
    </row>
    <row r="172" spans="1:13" ht="15.75">
      <c r="A172" s="8" t="s">
        <v>59</v>
      </c>
      <c r="B172" s="10" t="s">
        <v>60</v>
      </c>
      <c r="C172" s="15"/>
      <c r="D172" s="12" t="s">
        <v>12</v>
      </c>
      <c r="E172" s="14" t="s">
        <v>81</v>
      </c>
      <c r="F172" s="13" t="s">
        <v>329</v>
      </c>
      <c r="H172" s="8" t="s">
        <v>59</v>
      </c>
      <c r="I172" s="16" t="s">
        <v>62</v>
      </c>
      <c r="J172" s="15"/>
      <c r="K172" s="4"/>
      <c r="L172" s="4"/>
      <c r="M172" s="4"/>
    </row>
    <row r="173" spans="1:13" ht="15.75">
      <c r="A173" s="8" t="s">
        <v>64</v>
      </c>
      <c r="B173" s="10" t="s">
        <v>65</v>
      </c>
      <c r="C173" s="15"/>
      <c r="D173" s="17" t="s">
        <v>28</v>
      </c>
      <c r="E173" s="18" t="s">
        <v>10</v>
      </c>
      <c r="F173" s="22" t="s">
        <v>330</v>
      </c>
      <c r="H173" s="8" t="s">
        <v>64</v>
      </c>
      <c r="I173" s="10" t="s">
        <v>65</v>
      </c>
      <c r="J173" s="15"/>
      <c r="K173" s="12" t="s">
        <v>33</v>
      </c>
      <c r="L173" s="14" t="s">
        <v>55</v>
      </c>
      <c r="M173" s="13" t="s">
        <v>331</v>
      </c>
    </row>
    <row r="175" spans="1:8" ht="15.75">
      <c r="A175" s="1" t="s">
        <v>332</v>
      </c>
      <c r="H175" s="1" t="s">
        <v>333</v>
      </c>
    </row>
    <row r="176" ht="15.75">
      <c r="B176" s="3"/>
    </row>
    <row r="177" spans="1:13" ht="15.75">
      <c r="A177" s="4" t="s">
        <v>2</v>
      </c>
      <c r="B177" s="5" t="s">
        <v>3</v>
      </c>
      <c r="C177" s="6" t="s">
        <v>4</v>
      </c>
      <c r="D177" s="8" t="s">
        <v>2</v>
      </c>
      <c r="E177" s="8" t="s">
        <v>5</v>
      </c>
      <c r="F177" s="8" t="s">
        <v>6</v>
      </c>
      <c r="H177" s="4" t="s">
        <v>2</v>
      </c>
      <c r="I177" s="5" t="s">
        <v>3</v>
      </c>
      <c r="J177" s="6" t="s">
        <v>4</v>
      </c>
      <c r="K177" s="8" t="s">
        <v>2</v>
      </c>
      <c r="L177" s="8" t="s">
        <v>5</v>
      </c>
      <c r="M177" s="8" t="s">
        <v>6</v>
      </c>
    </row>
    <row r="178" spans="1:13" ht="15.75">
      <c r="A178" s="4" t="s">
        <v>7</v>
      </c>
      <c r="B178" s="16" t="s">
        <v>8</v>
      </c>
      <c r="C178" s="11"/>
      <c r="D178" s="12"/>
      <c r="E178" s="14"/>
      <c r="F178" s="13"/>
      <c r="H178" s="4" t="s">
        <v>7</v>
      </c>
      <c r="I178" s="16" t="s">
        <v>8</v>
      </c>
      <c r="J178" s="11"/>
      <c r="K178" s="12"/>
      <c r="L178" s="12"/>
      <c r="M178" s="13"/>
    </row>
    <row r="179" spans="1:13" ht="15.75">
      <c r="A179" s="4" t="s">
        <v>15</v>
      </c>
      <c r="B179" s="10" t="s">
        <v>16</v>
      </c>
      <c r="C179" s="15"/>
      <c r="D179" s="12" t="s">
        <v>12</v>
      </c>
      <c r="E179" s="14" t="s">
        <v>109</v>
      </c>
      <c r="F179" s="13" t="s">
        <v>334</v>
      </c>
      <c r="H179" s="4" t="s">
        <v>15</v>
      </c>
      <c r="I179" s="10" t="s">
        <v>16</v>
      </c>
      <c r="J179" s="15"/>
      <c r="K179" s="12" t="s">
        <v>40</v>
      </c>
      <c r="L179" s="14" t="s">
        <v>91</v>
      </c>
      <c r="M179" s="13" t="s">
        <v>335</v>
      </c>
    </row>
    <row r="180" spans="1:13" ht="15.75">
      <c r="A180" s="4" t="s">
        <v>22</v>
      </c>
      <c r="B180" s="10" t="s">
        <v>23</v>
      </c>
      <c r="C180" s="15"/>
      <c r="D180" s="12" t="s">
        <v>12</v>
      </c>
      <c r="E180" s="14" t="s">
        <v>125</v>
      </c>
      <c r="F180" s="13" t="s">
        <v>336</v>
      </c>
      <c r="H180" s="4" t="s">
        <v>22</v>
      </c>
      <c r="I180" s="10" t="s">
        <v>23</v>
      </c>
      <c r="J180" s="15"/>
      <c r="K180" s="18" t="s">
        <v>93</v>
      </c>
      <c r="L180" s="18" t="s">
        <v>91</v>
      </c>
      <c r="M180" s="19" t="s">
        <v>337</v>
      </c>
    </row>
    <row r="181" spans="1:13" ht="15.75">
      <c r="A181" s="4" t="s">
        <v>31</v>
      </c>
      <c r="B181" s="10" t="s">
        <v>32</v>
      </c>
      <c r="C181" s="6"/>
      <c r="D181" s="18" t="s">
        <v>93</v>
      </c>
      <c r="E181" s="18" t="s">
        <v>29</v>
      </c>
      <c r="F181" s="19" t="s">
        <v>338</v>
      </c>
      <c r="H181" s="4" t="s">
        <v>31</v>
      </c>
      <c r="I181" s="10" t="s">
        <v>32</v>
      </c>
      <c r="J181" s="6"/>
      <c r="K181" s="12" t="s">
        <v>289</v>
      </c>
      <c r="L181" s="14" t="s">
        <v>29</v>
      </c>
      <c r="M181" s="13" t="s">
        <v>339</v>
      </c>
    </row>
    <row r="182" spans="1:13" ht="15.75">
      <c r="A182" s="4" t="s">
        <v>38</v>
      </c>
      <c r="B182" s="10" t="s">
        <v>39</v>
      </c>
      <c r="C182" s="15"/>
      <c r="D182" s="20" t="s">
        <v>40</v>
      </c>
      <c r="E182" s="21" t="s">
        <v>36</v>
      </c>
      <c r="F182" s="13" t="s">
        <v>340</v>
      </c>
      <c r="H182" s="4" t="s">
        <v>38</v>
      </c>
      <c r="I182" s="10" t="s">
        <v>39</v>
      </c>
      <c r="J182" s="15"/>
      <c r="K182" s="12" t="s">
        <v>289</v>
      </c>
      <c r="L182" s="14" t="s">
        <v>111</v>
      </c>
      <c r="M182" s="13" t="s">
        <v>341</v>
      </c>
    </row>
    <row r="183" spans="1:13" ht="15.75">
      <c r="A183" s="4" t="s">
        <v>44</v>
      </c>
      <c r="B183" s="10" t="s">
        <v>45</v>
      </c>
      <c r="C183" s="15"/>
      <c r="D183" s="12" t="s">
        <v>24</v>
      </c>
      <c r="E183" s="14" t="s">
        <v>29</v>
      </c>
      <c r="F183" s="13" t="s">
        <v>342</v>
      </c>
      <c r="H183" s="4" t="s">
        <v>44</v>
      </c>
      <c r="I183" s="10" t="s">
        <v>45</v>
      </c>
      <c r="J183" s="15"/>
      <c r="K183" s="4"/>
      <c r="L183" s="4"/>
      <c r="M183" s="8" t="s">
        <v>343</v>
      </c>
    </row>
    <row r="184" spans="1:13" ht="15.75">
      <c r="A184" s="8" t="s">
        <v>48</v>
      </c>
      <c r="B184" s="10" t="s">
        <v>49</v>
      </c>
      <c r="C184" s="15"/>
      <c r="D184" s="4"/>
      <c r="E184" s="4"/>
      <c r="F184" s="8" t="s">
        <v>344</v>
      </c>
      <c r="H184" s="8" t="s">
        <v>48</v>
      </c>
      <c r="I184" s="16" t="s">
        <v>52</v>
      </c>
      <c r="J184" s="15"/>
      <c r="K184" s="17"/>
      <c r="L184" s="18"/>
      <c r="M184" s="19"/>
    </row>
    <row r="185" spans="1:13" ht="15.75">
      <c r="A185" s="8" t="s">
        <v>54</v>
      </c>
      <c r="B185" s="10" t="s">
        <v>27</v>
      </c>
      <c r="C185" s="6"/>
      <c r="D185" s="18" t="s">
        <v>93</v>
      </c>
      <c r="E185" s="18" t="s">
        <v>186</v>
      </c>
      <c r="F185" s="22" t="s">
        <v>345</v>
      </c>
      <c r="H185" s="8" t="s">
        <v>54</v>
      </c>
      <c r="I185" s="10" t="s">
        <v>27</v>
      </c>
      <c r="J185" s="6"/>
      <c r="K185" s="4"/>
      <c r="L185" s="4"/>
      <c r="M185" s="8" t="s">
        <v>346</v>
      </c>
    </row>
    <row r="186" spans="1:13" ht="15.75">
      <c r="A186" s="8" t="s">
        <v>59</v>
      </c>
      <c r="B186" s="16" t="s">
        <v>60</v>
      </c>
      <c r="C186" s="15"/>
      <c r="D186" s="4"/>
      <c r="E186" s="4"/>
      <c r="F186" s="4"/>
      <c r="H186" s="8" t="s">
        <v>59</v>
      </c>
      <c r="I186" s="16" t="s">
        <v>62</v>
      </c>
      <c r="J186" s="15"/>
      <c r="K186" s="4"/>
      <c r="L186" s="4"/>
      <c r="M186" s="4"/>
    </row>
    <row r="187" spans="1:13" ht="15.75">
      <c r="A187" s="8" t="s">
        <v>64</v>
      </c>
      <c r="B187" s="10" t="s">
        <v>65</v>
      </c>
      <c r="C187" s="15"/>
      <c r="D187" s="12" t="s">
        <v>12</v>
      </c>
      <c r="E187" s="14" t="s">
        <v>78</v>
      </c>
      <c r="F187" s="13" t="s">
        <v>347</v>
      </c>
      <c r="H187" s="8" t="s">
        <v>64</v>
      </c>
      <c r="I187" s="10" t="s">
        <v>65</v>
      </c>
      <c r="J187" s="15"/>
      <c r="K187" s="4"/>
      <c r="L187" s="4"/>
      <c r="M187" s="8" t="s">
        <v>348</v>
      </c>
    </row>
    <row r="189" spans="1:8" ht="15.75">
      <c r="A189" s="1" t="s">
        <v>349</v>
      </c>
      <c r="H189" s="1" t="s">
        <v>350</v>
      </c>
    </row>
    <row r="190" ht="15.75">
      <c r="B190" s="3"/>
    </row>
    <row r="191" spans="1:13" ht="15.75">
      <c r="A191" s="4" t="s">
        <v>2</v>
      </c>
      <c r="B191" s="5" t="s">
        <v>3</v>
      </c>
      <c r="C191" s="6" t="s">
        <v>4</v>
      </c>
      <c r="D191" s="8" t="s">
        <v>2</v>
      </c>
      <c r="E191" s="8" t="s">
        <v>5</v>
      </c>
      <c r="F191" s="8" t="s">
        <v>6</v>
      </c>
      <c r="H191" s="4" t="s">
        <v>2</v>
      </c>
      <c r="I191" s="5" t="s">
        <v>3</v>
      </c>
      <c r="J191" s="6" t="s">
        <v>4</v>
      </c>
      <c r="K191" s="8" t="s">
        <v>2</v>
      </c>
      <c r="L191" s="8" t="s">
        <v>5</v>
      </c>
      <c r="M191" s="8" t="s">
        <v>6</v>
      </c>
    </row>
    <row r="192" spans="1:13" ht="15.75">
      <c r="A192" s="4" t="s">
        <v>7</v>
      </c>
      <c r="B192" s="16" t="s">
        <v>8</v>
      </c>
      <c r="C192" s="11"/>
      <c r="D192" s="12"/>
      <c r="E192" s="14"/>
      <c r="F192" s="13"/>
      <c r="H192" s="4" t="s">
        <v>7</v>
      </c>
      <c r="I192" s="16" t="s">
        <v>8</v>
      </c>
      <c r="J192" s="11"/>
      <c r="K192" s="12"/>
      <c r="L192" s="12"/>
      <c r="M192" s="13"/>
    </row>
    <row r="193" spans="1:13" ht="15.75">
      <c r="A193" s="4" t="s">
        <v>15</v>
      </c>
      <c r="B193" s="16" t="s">
        <v>16</v>
      </c>
      <c r="C193" s="15"/>
      <c r="D193" s="4"/>
      <c r="E193" s="4"/>
      <c r="F193" s="4"/>
      <c r="H193" s="4" t="s">
        <v>15</v>
      </c>
      <c r="I193" s="16" t="s">
        <v>16</v>
      </c>
      <c r="J193" s="15"/>
      <c r="K193" s="4"/>
      <c r="L193" s="4"/>
      <c r="M193" s="4"/>
    </row>
    <row r="194" spans="1:13" ht="15.75">
      <c r="A194" s="4" t="s">
        <v>22</v>
      </c>
      <c r="B194" s="10" t="s">
        <v>23</v>
      </c>
      <c r="C194" s="15"/>
      <c r="D194" s="12" t="s">
        <v>33</v>
      </c>
      <c r="E194" s="14" t="s">
        <v>118</v>
      </c>
      <c r="F194" s="13" t="s">
        <v>351</v>
      </c>
      <c r="H194" s="4" t="s">
        <v>22</v>
      </c>
      <c r="I194" s="10" t="s">
        <v>23</v>
      </c>
      <c r="J194" s="15"/>
      <c r="K194" s="12" t="s">
        <v>12</v>
      </c>
      <c r="L194" s="14" t="s">
        <v>97</v>
      </c>
      <c r="M194" s="13" t="s">
        <v>352</v>
      </c>
    </row>
    <row r="195" spans="1:13" ht="15.75">
      <c r="A195" s="4" t="s">
        <v>31</v>
      </c>
      <c r="B195" s="10" t="s">
        <v>32</v>
      </c>
      <c r="C195" s="6"/>
      <c r="D195" s="18" t="s">
        <v>93</v>
      </c>
      <c r="E195" s="18" t="s">
        <v>186</v>
      </c>
      <c r="F195" s="19" t="s">
        <v>353</v>
      </c>
      <c r="H195" s="4" t="s">
        <v>31</v>
      </c>
      <c r="I195" s="16" t="s">
        <v>32</v>
      </c>
      <c r="J195" s="6"/>
      <c r="K195" s="4"/>
      <c r="L195" s="4"/>
      <c r="M195" s="4"/>
    </row>
    <row r="196" spans="1:13" ht="15.75">
      <c r="A196" s="4" t="s">
        <v>38</v>
      </c>
      <c r="B196" s="16" t="s">
        <v>39</v>
      </c>
      <c r="C196" s="15"/>
      <c r="D196" s="4"/>
      <c r="E196" s="4"/>
      <c r="F196" s="4"/>
      <c r="H196" s="4" t="s">
        <v>38</v>
      </c>
      <c r="I196" s="16" t="s">
        <v>39</v>
      </c>
      <c r="J196" s="15"/>
      <c r="K196" s="4"/>
      <c r="L196" s="4"/>
      <c r="M196" s="4"/>
    </row>
    <row r="197" spans="1:13" ht="15.75">
      <c r="A197" s="4" t="s">
        <v>44</v>
      </c>
      <c r="B197" s="10" t="s">
        <v>45</v>
      </c>
      <c r="C197" s="15"/>
      <c r="D197" s="12" t="s">
        <v>9</v>
      </c>
      <c r="E197" s="14" t="s">
        <v>36</v>
      </c>
      <c r="F197" s="13" t="s">
        <v>354</v>
      </c>
      <c r="H197" s="4" t="s">
        <v>44</v>
      </c>
      <c r="I197" s="10" t="s">
        <v>45</v>
      </c>
      <c r="J197" s="15"/>
      <c r="K197" s="18" t="s">
        <v>93</v>
      </c>
      <c r="L197" s="18" t="s">
        <v>111</v>
      </c>
      <c r="M197" s="19" t="s">
        <v>355</v>
      </c>
    </row>
    <row r="198" spans="1:13" ht="15.75">
      <c r="A198" s="8" t="s">
        <v>48</v>
      </c>
      <c r="B198" s="16" t="s">
        <v>49</v>
      </c>
      <c r="C198" s="15"/>
      <c r="D198" s="4"/>
      <c r="E198" s="4"/>
      <c r="F198" s="4"/>
      <c r="H198" s="8" t="s">
        <v>48</v>
      </c>
      <c r="I198" s="16" t="s">
        <v>52</v>
      </c>
      <c r="J198" s="15"/>
      <c r="K198" s="4"/>
      <c r="L198" s="4"/>
      <c r="M198" s="4"/>
    </row>
    <row r="199" spans="1:13" ht="15.75">
      <c r="A199" s="8" t="s">
        <v>54</v>
      </c>
      <c r="B199" s="10" t="s">
        <v>27</v>
      </c>
      <c r="C199" s="6"/>
      <c r="D199" s="28" t="s">
        <v>93</v>
      </c>
      <c r="E199" s="18" t="s">
        <v>55</v>
      </c>
      <c r="F199" s="19" t="s">
        <v>356</v>
      </c>
      <c r="H199" s="8" t="s">
        <v>54</v>
      </c>
      <c r="I199" s="10" t="s">
        <v>27</v>
      </c>
      <c r="J199" s="6"/>
      <c r="K199" s="12" t="s">
        <v>12</v>
      </c>
      <c r="L199" s="14" t="s">
        <v>55</v>
      </c>
      <c r="M199" s="13" t="s">
        <v>357</v>
      </c>
    </row>
    <row r="200" spans="1:13" ht="15.75">
      <c r="A200" s="8" t="s">
        <v>59</v>
      </c>
      <c r="B200" s="16" t="s">
        <v>60</v>
      </c>
      <c r="C200" s="15"/>
      <c r="D200" s="4"/>
      <c r="E200" s="4"/>
      <c r="F200" s="4"/>
      <c r="H200" s="8" t="s">
        <v>59</v>
      </c>
      <c r="I200" s="16" t="s">
        <v>62</v>
      </c>
      <c r="J200" s="15"/>
      <c r="K200" s="4"/>
      <c r="L200" s="4"/>
      <c r="M200" s="4"/>
    </row>
    <row r="201" spans="1:13" ht="15.75">
      <c r="A201" s="8" t="s">
        <v>64</v>
      </c>
      <c r="B201" s="10" t="s">
        <v>65</v>
      </c>
      <c r="C201" s="15"/>
      <c r="D201" s="18" t="s">
        <v>28</v>
      </c>
      <c r="E201" s="18" t="s">
        <v>55</v>
      </c>
      <c r="F201" s="19" t="s">
        <v>358</v>
      </c>
      <c r="H201" s="8" t="s">
        <v>64</v>
      </c>
      <c r="I201" s="10" t="s">
        <v>65</v>
      </c>
      <c r="J201" s="15"/>
      <c r="K201" s="12" t="s">
        <v>40</v>
      </c>
      <c r="L201" s="14" t="s">
        <v>140</v>
      </c>
      <c r="M201" s="13" t="s">
        <v>359</v>
      </c>
    </row>
    <row r="203" spans="1:8" ht="15.75">
      <c r="A203" s="1" t="s">
        <v>360</v>
      </c>
      <c r="H203" s="1" t="s">
        <v>361</v>
      </c>
    </row>
    <row r="204" ht="15.75">
      <c r="B204" s="3"/>
    </row>
    <row r="205" spans="1:13" ht="15.75">
      <c r="A205" s="4" t="s">
        <v>2</v>
      </c>
      <c r="B205" s="5" t="s">
        <v>3</v>
      </c>
      <c r="C205" s="6" t="s">
        <v>4</v>
      </c>
      <c r="D205" s="8" t="s">
        <v>2</v>
      </c>
      <c r="E205" s="8" t="s">
        <v>5</v>
      </c>
      <c r="F205" s="8" t="s">
        <v>6</v>
      </c>
      <c r="H205" s="4" t="s">
        <v>2</v>
      </c>
      <c r="I205" s="5" t="s">
        <v>3</v>
      </c>
      <c r="J205" s="6" t="s">
        <v>4</v>
      </c>
      <c r="K205" s="8" t="s">
        <v>2</v>
      </c>
      <c r="L205" s="8" t="s">
        <v>5</v>
      </c>
      <c r="M205" s="8" t="s">
        <v>6</v>
      </c>
    </row>
    <row r="206" spans="1:13" ht="15.75">
      <c r="A206" s="4" t="s">
        <v>7</v>
      </c>
      <c r="B206" s="16" t="s">
        <v>8</v>
      </c>
      <c r="C206" s="11"/>
      <c r="D206" s="12"/>
      <c r="E206" s="14"/>
      <c r="F206" s="13"/>
      <c r="H206" s="4" t="s">
        <v>7</v>
      </c>
      <c r="I206" s="16" t="s">
        <v>8</v>
      </c>
      <c r="J206" s="11"/>
      <c r="K206" s="12"/>
      <c r="L206" s="12"/>
      <c r="M206" s="13"/>
    </row>
    <row r="207" spans="1:13" ht="15.75">
      <c r="A207" s="4" t="s">
        <v>15</v>
      </c>
      <c r="B207" s="16" t="s">
        <v>16</v>
      </c>
      <c r="C207" s="15"/>
      <c r="D207" s="4"/>
      <c r="E207" s="4"/>
      <c r="F207" s="4"/>
      <c r="H207" s="4" t="s">
        <v>15</v>
      </c>
      <c r="I207" s="16" t="s">
        <v>16</v>
      </c>
      <c r="J207" s="15"/>
      <c r="K207" s="4"/>
      <c r="L207" s="4"/>
      <c r="M207" s="4"/>
    </row>
    <row r="208" spans="1:13" ht="15.75">
      <c r="A208" s="4" t="s">
        <v>22</v>
      </c>
      <c r="B208" s="10" t="s">
        <v>23</v>
      </c>
      <c r="C208" s="15"/>
      <c r="D208" s="4"/>
      <c r="E208" s="4"/>
      <c r="F208" s="8" t="s">
        <v>362</v>
      </c>
      <c r="H208" s="4" t="s">
        <v>22</v>
      </c>
      <c r="I208" s="10" t="s">
        <v>23</v>
      </c>
      <c r="J208" s="15"/>
      <c r="K208" s="12" t="s">
        <v>33</v>
      </c>
      <c r="L208" s="14" t="s">
        <v>120</v>
      </c>
      <c r="M208" s="13" t="s">
        <v>363</v>
      </c>
    </row>
    <row r="209" spans="1:13" ht="15.75">
      <c r="A209" s="4" t="s">
        <v>31</v>
      </c>
      <c r="B209" s="16" t="s">
        <v>32</v>
      </c>
      <c r="C209" s="6"/>
      <c r="D209" s="8"/>
      <c r="E209" s="4"/>
      <c r="F209" s="4"/>
      <c r="H209" s="4" t="s">
        <v>31</v>
      </c>
      <c r="I209" s="16" t="s">
        <v>32</v>
      </c>
      <c r="J209" s="6"/>
      <c r="K209" s="4"/>
      <c r="L209" s="4"/>
      <c r="M209" s="4"/>
    </row>
    <row r="210" spans="1:13" ht="15.75">
      <c r="A210" s="4" t="s">
        <v>38</v>
      </c>
      <c r="B210" s="16" t="s">
        <v>39</v>
      </c>
      <c r="C210" s="15"/>
      <c r="D210" s="4"/>
      <c r="E210" s="4"/>
      <c r="F210" s="4"/>
      <c r="H210" s="4" t="s">
        <v>38</v>
      </c>
      <c r="I210" s="16" t="s">
        <v>39</v>
      </c>
      <c r="J210" s="15"/>
      <c r="K210" s="4"/>
      <c r="L210" s="4"/>
      <c r="M210" s="4"/>
    </row>
    <row r="211" spans="1:13" ht="15.75">
      <c r="A211" s="4" t="s">
        <v>44</v>
      </c>
      <c r="B211" s="16" t="s">
        <v>45</v>
      </c>
      <c r="C211" s="15"/>
      <c r="D211" s="12"/>
      <c r="E211" s="14"/>
      <c r="F211" s="13"/>
      <c r="H211" s="4" t="s">
        <v>44</v>
      </c>
      <c r="I211" s="16" t="s">
        <v>45</v>
      </c>
      <c r="J211" s="15"/>
      <c r="K211" s="12"/>
      <c r="L211" s="14"/>
      <c r="M211" s="13"/>
    </row>
    <row r="212" spans="1:13" ht="15.75">
      <c r="A212" s="8" t="s">
        <v>48</v>
      </c>
      <c r="B212" s="16" t="s">
        <v>49</v>
      </c>
      <c r="C212" s="15"/>
      <c r="D212" s="4"/>
      <c r="E212" s="4"/>
      <c r="F212" s="4"/>
      <c r="H212" s="8" t="s">
        <v>48</v>
      </c>
      <c r="I212" s="16" t="s">
        <v>52</v>
      </c>
      <c r="J212" s="15"/>
      <c r="K212" s="4"/>
      <c r="L212" s="4"/>
      <c r="M212" s="4"/>
    </row>
    <row r="213" spans="1:13" ht="15.75">
      <c r="A213" s="8" t="s">
        <v>54</v>
      </c>
      <c r="B213" s="16" t="s">
        <v>27</v>
      </c>
      <c r="C213" s="6"/>
      <c r="D213" s="8"/>
      <c r="E213" s="4"/>
      <c r="F213" s="4"/>
      <c r="H213" s="8" t="s">
        <v>54</v>
      </c>
      <c r="I213" s="16" t="s">
        <v>27</v>
      </c>
      <c r="J213" s="6"/>
      <c r="K213" s="4"/>
      <c r="L213" s="4"/>
      <c r="M213" s="4"/>
    </row>
    <row r="214" spans="1:13" ht="15.75">
      <c r="A214" s="8" t="s">
        <v>59</v>
      </c>
      <c r="B214" s="16" t="s">
        <v>60</v>
      </c>
      <c r="C214" s="15"/>
      <c r="D214" s="4"/>
      <c r="E214" s="4"/>
      <c r="F214" s="4"/>
      <c r="H214" s="8" t="s">
        <v>59</v>
      </c>
      <c r="I214" s="16" t="s">
        <v>62</v>
      </c>
      <c r="J214" s="15"/>
      <c r="K214" s="4"/>
      <c r="L214" s="4"/>
      <c r="M214" s="4"/>
    </row>
    <row r="215" spans="1:13" ht="15.75">
      <c r="A215" s="8" t="s">
        <v>64</v>
      </c>
      <c r="B215" s="16" t="s">
        <v>65</v>
      </c>
      <c r="C215" s="15"/>
      <c r="D215" s="4"/>
      <c r="E215" s="4"/>
      <c r="F215" s="4"/>
      <c r="H215" s="8" t="s">
        <v>64</v>
      </c>
      <c r="I215" s="16" t="s">
        <v>65</v>
      </c>
      <c r="J215" s="15"/>
      <c r="K215" s="4"/>
      <c r="L215" s="4"/>
      <c r="M215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R272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7.57421875" style="0" customWidth="1"/>
    <col min="2" max="2" width="7.140625" style="0" customWidth="1"/>
    <col min="3" max="3" width="24.7109375" style="0" customWidth="1"/>
    <col min="5" max="5" width="13.8515625" style="0" customWidth="1"/>
    <col min="6" max="6" width="7.7109375" style="0" customWidth="1"/>
    <col min="7" max="7" width="6.8515625" style="0" customWidth="1"/>
    <col min="8" max="8" width="7.57421875" style="0" customWidth="1"/>
    <col min="9" max="9" width="7.7109375" style="0" customWidth="1"/>
    <col min="10" max="10" width="8.8515625" style="0" customWidth="1"/>
    <col min="11" max="11" width="5.28125" style="0" customWidth="1"/>
    <col min="12" max="12" width="5.8515625" style="0" customWidth="1"/>
    <col min="13" max="13" width="4.57421875" style="0" customWidth="1"/>
    <col min="14" max="14" width="12.28125" style="0" customWidth="1"/>
    <col min="15" max="15" width="6.421875" style="0" customWidth="1"/>
    <col min="16" max="17" width="5.7109375" style="0" customWidth="1"/>
    <col min="18" max="18" width="11.140625" style="0" customWidth="1"/>
  </cols>
  <sheetData>
    <row r="7" spans="1:18" ht="16.5" thickBot="1">
      <c r="A7" s="76" t="s">
        <v>2</v>
      </c>
      <c r="B7" s="77" t="s">
        <v>5</v>
      </c>
      <c r="C7" s="78" t="s">
        <v>6</v>
      </c>
      <c r="D7" s="79" t="s">
        <v>404</v>
      </c>
      <c r="E7" s="79" t="s">
        <v>3</v>
      </c>
      <c r="F7" s="79" t="s">
        <v>406</v>
      </c>
      <c r="G7" s="79" t="s">
        <v>407</v>
      </c>
      <c r="H7" s="79" t="s">
        <v>408</v>
      </c>
      <c r="I7" s="88" t="s">
        <v>409</v>
      </c>
      <c r="J7" s="79" t="s">
        <v>410</v>
      </c>
      <c r="K7" s="79" t="s">
        <v>411</v>
      </c>
      <c r="L7" s="79" t="s">
        <v>412</v>
      </c>
      <c r="M7" s="79" t="s">
        <v>413</v>
      </c>
      <c r="N7" s="88" t="s">
        <v>414</v>
      </c>
      <c r="O7" s="79" t="s">
        <v>418</v>
      </c>
      <c r="P7" s="79" t="s">
        <v>415</v>
      </c>
      <c r="Q7" s="79" t="s">
        <v>416</v>
      </c>
      <c r="R7" s="88" t="s">
        <v>417</v>
      </c>
    </row>
    <row r="8" spans="1:18" ht="16.5" thickTop="1">
      <c r="A8" s="20" t="s">
        <v>9</v>
      </c>
      <c r="B8" s="20" t="s">
        <v>10</v>
      </c>
      <c r="C8" s="67" t="s">
        <v>11</v>
      </c>
      <c r="D8" s="61" t="s">
        <v>371</v>
      </c>
      <c r="E8" s="65" t="s">
        <v>8</v>
      </c>
      <c r="F8" s="35">
        <f>SUMIF('[1]POOL-joueus'!$D$5:$D$808,C8,'[1]POOL-joueus'!$E$5:$E$808)</f>
        <v>63</v>
      </c>
      <c r="G8" s="35">
        <f>SUMIF('[1]POOL-joueus'!$D$5:$D$808,C8,'[1]POOL-joueus'!$F$5:F$808)</f>
        <v>14</v>
      </c>
      <c r="H8" s="35">
        <f>SUMIF('[1]POOL-joueus'!$D$5:$D$808,C8,'[1]POOL-joueus'!$G$5:G$808)</f>
        <v>18</v>
      </c>
      <c r="I8" s="89">
        <f>SUM(G8:H8)</f>
        <v>32</v>
      </c>
      <c r="J8" s="87">
        <f>I8/F8</f>
        <v>0.5079365079365079</v>
      </c>
      <c r="K8" s="35">
        <f>SUMIF('[1]Pool-gardien'!$D$5:$D$127,C8,'[1]Pool-gardien'!$F$5:$F$127)</f>
        <v>0</v>
      </c>
      <c r="L8" s="35">
        <f>SUMIF('[1]Pool-gardien'!$D$5:$D$127,C8,'[1]Pool-gardien'!$G$5:$G$127)</f>
        <v>0</v>
      </c>
      <c r="M8" s="35">
        <f>SUMIF('[1]Pool-gardien'!$D$5:$D$127,C8,'[1]Pool-gardien'!$H$5:$H$127)</f>
        <v>0</v>
      </c>
      <c r="N8" s="89">
        <f>SUMIF('[1]Pool-gardien'!$D$5:$D$127,C8,'[1]Pool-gardien'!$K$5:$K$127)</f>
        <v>0</v>
      </c>
      <c r="O8" s="35">
        <f>SUMIF('[1]Equipes-Pool'!$B$6:$B$35,C8,'[1]Equipes-Pool'!$D$6:$D$35)</f>
        <v>0</v>
      </c>
      <c r="P8" s="35">
        <f>SUMIF('[1]Equipes-Pool'!$B$6:$B$35,C8,'[1]Equipes-Pool'!$E$6:$E$35)</f>
        <v>0</v>
      </c>
      <c r="Q8" s="35">
        <f>SUMIF('[1]Equipes-Pool'!$B$6:$B$35,C8,'[1]Equipes-Pool'!$F$6:$F$35)</f>
        <v>0</v>
      </c>
      <c r="R8" s="89">
        <f>SUMIF('[1]Equipes-Pool'!$B$6:$B$35,C8,'[1]Equipes-Pool'!$G$6:$G$35)</f>
        <v>0</v>
      </c>
    </row>
    <row r="9" spans="1:18" ht="15.75">
      <c r="A9" s="12" t="s">
        <v>12</v>
      </c>
      <c r="B9" s="14" t="s">
        <v>17</v>
      </c>
      <c r="C9" s="55" t="s">
        <v>18</v>
      </c>
      <c r="D9" s="31" t="s">
        <v>371</v>
      </c>
      <c r="E9" s="10" t="s">
        <v>16</v>
      </c>
      <c r="F9" s="84">
        <f>SUMIF('[1]POOL-joueus'!$D$5:$D$808,C9,'[1]POOL-joueus'!$E$5:$E$808)</f>
        <v>61</v>
      </c>
      <c r="G9" s="84">
        <f>SUMIF('[1]POOL-joueus'!$D$5:$D$808,C9,'[1]POOL-joueus'!$F$5:F$808)</f>
        <v>26</v>
      </c>
      <c r="H9" s="84">
        <f>SUMIF('[1]POOL-joueus'!$D$5:$D$808,C9,'[1]POOL-joueus'!$G$5:G$808)</f>
        <v>34</v>
      </c>
      <c r="I9" s="90">
        <f aca="true" t="shared" si="0" ref="I9:I17">SUM(G9:H9)</f>
        <v>60</v>
      </c>
      <c r="J9" s="85">
        <f aca="true" t="shared" si="1" ref="J9:J17">I9/F9</f>
        <v>0.9836065573770492</v>
      </c>
      <c r="K9" s="30">
        <f>SUMIF('[1]Pool-gardien'!$D$5:$D$127,C9,'[1]Pool-gardien'!$F$5:$F$127)</f>
        <v>0</v>
      </c>
      <c r="L9" s="30">
        <f>SUMIF('[1]Pool-gardien'!$D$5:$D$127,C9,'[1]Pool-gardien'!$G$5:$G$127)</f>
        <v>0</v>
      </c>
      <c r="M9" s="30">
        <f>SUMIF('[1]Pool-gardien'!$D$5:$D$127,C9,'[1]Pool-gardien'!$H$5:$H$127)</f>
        <v>0</v>
      </c>
      <c r="N9" s="91">
        <f>SUMIF('[1]Pool-gardien'!$D$5:$D$127,C9,'[1]Pool-gardien'!$K$5:$K$127)</f>
        <v>0</v>
      </c>
      <c r="O9" s="30">
        <f>SUMIF('[1]Equipes-Pool'!$B$6:$B$35,C9,'[1]Equipes-Pool'!$D$6:$D$35)</f>
        <v>0</v>
      </c>
      <c r="P9" s="30">
        <f>SUMIF('[1]Equipes-Pool'!$B$6:$B$35,C9,'[1]Equipes-Pool'!$E$6:$E$35)</f>
        <v>0</v>
      </c>
      <c r="Q9" s="30">
        <f>SUMIF('[1]Equipes-Pool'!$B$6:$B$35,C9,'[1]Equipes-Pool'!$F$6:$F$35)</f>
        <v>0</v>
      </c>
      <c r="R9" s="91">
        <f>SUMIF('[1]Equipes-Pool'!$B$6:$B$35,C9,'[1]Equipes-Pool'!$G$6:$G$35)</f>
        <v>0</v>
      </c>
    </row>
    <row r="10" spans="1:18" ht="15.75">
      <c r="A10" s="12" t="s">
        <v>24</v>
      </c>
      <c r="B10" s="14" t="s">
        <v>25</v>
      </c>
      <c r="C10" s="55" t="s">
        <v>26</v>
      </c>
      <c r="D10" s="31" t="s">
        <v>371</v>
      </c>
      <c r="E10" s="10" t="s">
        <v>23</v>
      </c>
      <c r="F10" s="30">
        <f>SUMIF('[1]POOL-joueus'!$D$5:$D$808,C10,'[1]POOL-joueus'!$E$5:$E$808)</f>
        <v>53</v>
      </c>
      <c r="G10" s="30">
        <f>SUMIF('[1]POOL-joueus'!$D$5:$D$808,C10,'[1]POOL-joueus'!$F$5:F$808)</f>
        <v>14</v>
      </c>
      <c r="H10" s="30">
        <f>SUMIF('[1]POOL-joueus'!$D$5:$D$808,C10,'[1]POOL-joueus'!$G$5:G$808)</f>
        <v>11</v>
      </c>
      <c r="I10" s="91">
        <f t="shared" si="0"/>
        <v>25</v>
      </c>
      <c r="J10" s="81">
        <f t="shared" si="1"/>
        <v>0.4716981132075472</v>
      </c>
      <c r="K10" s="30">
        <f>SUMIF('[1]Pool-gardien'!$D$5:$D$127,C10,'[1]Pool-gardien'!$F$5:$F$127)</f>
        <v>0</v>
      </c>
      <c r="L10" s="30">
        <f>SUMIF('[1]Pool-gardien'!$D$5:$D$127,C10,'[1]Pool-gardien'!$G$5:$G$127)</f>
        <v>0</v>
      </c>
      <c r="M10" s="30">
        <f>SUMIF('[1]Pool-gardien'!$D$5:$D$127,C10,'[1]Pool-gardien'!$H$5:$H$127)</f>
        <v>0</v>
      </c>
      <c r="N10" s="91">
        <f>SUMIF('[1]Pool-gardien'!$D$5:$D$127,C10,'[1]Pool-gardien'!$K$5:$K$127)</f>
        <v>0</v>
      </c>
      <c r="O10" s="30">
        <f>SUMIF('[1]Equipes-Pool'!$B$6:$B$35,C10,'[1]Equipes-Pool'!$D$6:$D$35)</f>
        <v>0</v>
      </c>
      <c r="P10" s="30">
        <f>SUMIF('[1]Equipes-Pool'!$B$6:$B$35,C10,'[1]Equipes-Pool'!$E$6:$E$35)</f>
        <v>0</v>
      </c>
      <c r="Q10" s="30">
        <f>SUMIF('[1]Equipes-Pool'!$B$6:$B$35,C10,'[1]Equipes-Pool'!$F$6:$F$35)</f>
        <v>0</v>
      </c>
      <c r="R10" s="91">
        <f>SUMIF('[1]Equipes-Pool'!$B$6:$B$35,C10,'[1]Equipes-Pool'!$G$6:$G$35)</f>
        <v>0</v>
      </c>
    </row>
    <row r="11" spans="1:18" ht="15.75">
      <c r="A11" s="20" t="s">
        <v>33</v>
      </c>
      <c r="B11" s="21" t="s">
        <v>34</v>
      </c>
      <c r="C11" s="55" t="s">
        <v>35</v>
      </c>
      <c r="D11" s="31" t="s">
        <v>371</v>
      </c>
      <c r="E11" s="10" t="s">
        <v>16</v>
      </c>
      <c r="F11" s="84">
        <f>SUMIF('[1]POOL-joueus'!$D$5:$D$808,C11,'[1]POOL-joueus'!$E$5:$E$808)</f>
        <v>65</v>
      </c>
      <c r="G11" s="84">
        <f>SUMIF('[1]POOL-joueus'!$D$5:$D$808,C11,'[1]POOL-joueus'!$F$5:F$808)</f>
        <v>3</v>
      </c>
      <c r="H11" s="84">
        <f>SUMIF('[1]POOL-joueus'!$D$5:$D$808,C11,'[1]POOL-joueus'!$G$5:G$808)</f>
        <v>19</v>
      </c>
      <c r="I11" s="90">
        <f t="shared" si="0"/>
        <v>22</v>
      </c>
      <c r="J11" s="85">
        <f t="shared" si="1"/>
        <v>0.3384615384615385</v>
      </c>
      <c r="K11" s="30">
        <f>SUMIF('[1]Pool-gardien'!$D$5:$D$127,C11,'[1]Pool-gardien'!$F$5:$F$127)</f>
        <v>0</v>
      </c>
      <c r="L11" s="30">
        <f>SUMIF('[1]Pool-gardien'!$D$5:$D$127,C11,'[1]Pool-gardien'!$G$5:$G$127)</f>
        <v>0</v>
      </c>
      <c r="M11" s="30">
        <f>SUMIF('[1]Pool-gardien'!$D$5:$D$127,C11,'[1]Pool-gardien'!$H$5:$H$127)</f>
        <v>0</v>
      </c>
      <c r="N11" s="91">
        <f>SUMIF('[1]Pool-gardien'!$D$5:$D$127,C11,'[1]Pool-gardien'!$K$5:$K$127)</f>
        <v>0</v>
      </c>
      <c r="O11" s="30">
        <f>SUMIF('[1]Equipes-Pool'!$B$6:$B$35,C11,'[1]Equipes-Pool'!$D$6:$D$35)</f>
        <v>0</v>
      </c>
      <c r="P11" s="30">
        <f>SUMIF('[1]Equipes-Pool'!$B$6:$B$35,C11,'[1]Equipes-Pool'!$E$6:$E$35)</f>
        <v>0</v>
      </c>
      <c r="Q11" s="30">
        <f>SUMIF('[1]Equipes-Pool'!$B$6:$B$35,C11,'[1]Equipes-Pool'!$F$6:$F$35)</f>
        <v>0</v>
      </c>
      <c r="R11" s="91">
        <f>SUMIF('[1]Equipes-Pool'!$B$6:$B$35,C11,'[1]Equipes-Pool'!$G$6:$G$35)</f>
        <v>0</v>
      </c>
    </row>
    <row r="12" spans="1:18" ht="15.75">
      <c r="A12" s="12" t="s">
        <v>40</v>
      </c>
      <c r="B12" s="14" t="s">
        <v>41</v>
      </c>
      <c r="C12" s="55" t="s">
        <v>42</v>
      </c>
      <c r="D12" s="31" t="s">
        <v>371</v>
      </c>
      <c r="E12" s="10" t="s">
        <v>39</v>
      </c>
      <c r="F12" s="84">
        <f>SUMIF('[1]POOL-joueus'!$D$5:$D$808,C12,'[1]POOL-joueus'!$E$5:$E$808)</f>
        <v>58</v>
      </c>
      <c r="G12" s="84">
        <f>SUMIF('[1]POOL-joueus'!$D$5:$D$808,C12,'[1]POOL-joueus'!$F$5:F$808)</f>
        <v>7</v>
      </c>
      <c r="H12" s="84">
        <f>SUMIF('[1]POOL-joueus'!$D$5:$D$808,C12,'[1]POOL-joueus'!$G$5:G$808)</f>
        <v>20</v>
      </c>
      <c r="I12" s="90">
        <f t="shared" si="0"/>
        <v>27</v>
      </c>
      <c r="J12" s="85">
        <f t="shared" si="1"/>
        <v>0.46551724137931033</v>
      </c>
      <c r="K12" s="30">
        <f>SUMIF('[1]Pool-gardien'!$D$5:$D$127,C12,'[1]Pool-gardien'!$F$5:$F$127)</f>
        <v>0</v>
      </c>
      <c r="L12" s="30">
        <f>SUMIF('[1]Pool-gardien'!$D$5:$D$127,C12,'[1]Pool-gardien'!$G$5:$G$127)</f>
        <v>0</v>
      </c>
      <c r="M12" s="30">
        <f>SUMIF('[1]Pool-gardien'!$D$5:$D$127,C12,'[1]Pool-gardien'!$H$5:$H$127)</f>
        <v>0</v>
      </c>
      <c r="N12" s="91">
        <f>SUMIF('[1]Pool-gardien'!$D$5:$D$127,C12,'[1]Pool-gardien'!$K$5:$K$127)</f>
        <v>0</v>
      </c>
      <c r="O12" s="30">
        <f>SUMIF('[1]Equipes-Pool'!$B$6:$B$35,C12,'[1]Equipes-Pool'!$D$6:$D$35)</f>
        <v>0</v>
      </c>
      <c r="P12" s="30">
        <f>SUMIF('[1]Equipes-Pool'!$B$6:$B$35,C12,'[1]Equipes-Pool'!$E$6:$E$35)</f>
        <v>0</v>
      </c>
      <c r="Q12" s="30">
        <f>SUMIF('[1]Equipes-Pool'!$B$6:$B$35,C12,'[1]Equipes-Pool'!$F$6:$F$35)</f>
        <v>0</v>
      </c>
      <c r="R12" s="91">
        <f>SUMIF('[1]Equipes-Pool'!$B$6:$B$35,C12,'[1]Equipes-Pool'!$G$6:$G$35)</f>
        <v>0</v>
      </c>
    </row>
    <row r="13" spans="1:18" ht="15.75">
      <c r="A13" s="12" t="s">
        <v>12</v>
      </c>
      <c r="B13" s="14" t="s">
        <v>20</v>
      </c>
      <c r="C13" s="55" t="s">
        <v>46</v>
      </c>
      <c r="D13" s="31" t="s">
        <v>371</v>
      </c>
      <c r="E13" s="10" t="s">
        <v>45</v>
      </c>
      <c r="F13" s="84">
        <f>SUMIF('[1]POOL-joueus'!$D$5:$D$808,C13,'[1]POOL-joueus'!$E$5:$E$808)</f>
        <v>64</v>
      </c>
      <c r="G13" s="84">
        <f>SUMIF('[1]POOL-joueus'!$D$5:$D$808,C13,'[1]POOL-joueus'!$F$5:F$808)</f>
        <v>14</v>
      </c>
      <c r="H13" s="84">
        <f>SUMIF('[1]POOL-joueus'!$D$5:$D$808,C13,'[1]POOL-joueus'!$G$5:G$808)</f>
        <v>23</v>
      </c>
      <c r="I13" s="90">
        <f t="shared" si="0"/>
        <v>37</v>
      </c>
      <c r="J13" s="85">
        <f t="shared" si="1"/>
        <v>0.578125</v>
      </c>
      <c r="K13" s="30">
        <f>SUMIF('[1]Pool-gardien'!$D$5:$D$127,C13,'[1]Pool-gardien'!$F$5:$F$127)</f>
        <v>0</v>
      </c>
      <c r="L13" s="30">
        <f>SUMIF('[1]Pool-gardien'!$D$5:$D$127,C13,'[1]Pool-gardien'!$G$5:$G$127)</f>
        <v>0</v>
      </c>
      <c r="M13" s="30">
        <f>SUMIF('[1]Pool-gardien'!$D$5:$D$127,C13,'[1]Pool-gardien'!$H$5:$H$127)</f>
        <v>0</v>
      </c>
      <c r="N13" s="91">
        <f>SUMIF('[1]Pool-gardien'!$D$5:$D$127,C13,'[1]Pool-gardien'!$K$5:$K$127)</f>
        <v>0</v>
      </c>
      <c r="O13" s="30">
        <f>SUMIF('[1]Equipes-Pool'!$B$6:$B$35,C13,'[1]Equipes-Pool'!$D$6:$D$35)</f>
        <v>0</v>
      </c>
      <c r="P13" s="30">
        <f>SUMIF('[1]Equipes-Pool'!$B$6:$B$35,C13,'[1]Equipes-Pool'!$E$6:$E$35)</f>
        <v>0</v>
      </c>
      <c r="Q13" s="30">
        <f>SUMIF('[1]Equipes-Pool'!$B$6:$B$35,C13,'[1]Equipes-Pool'!$F$6:$F$35)</f>
        <v>0</v>
      </c>
      <c r="R13" s="91">
        <f>SUMIF('[1]Equipes-Pool'!$B$6:$B$35,C13,'[1]Equipes-Pool'!$G$6:$G$35)</f>
        <v>0</v>
      </c>
    </row>
    <row r="14" spans="1:18" ht="15.75">
      <c r="A14" s="12" t="s">
        <v>9</v>
      </c>
      <c r="B14" s="14" t="s">
        <v>50</v>
      </c>
      <c r="C14" s="55" t="s">
        <v>51</v>
      </c>
      <c r="D14" s="31" t="s">
        <v>371</v>
      </c>
      <c r="E14" s="10" t="s">
        <v>49</v>
      </c>
      <c r="F14" s="30">
        <f>SUMIF('[1]POOL-joueus'!$D$5:$D$808,C14,'[1]POOL-joueus'!$E$5:$E$808)</f>
        <v>52</v>
      </c>
      <c r="G14" s="30">
        <f>SUMIF('[1]POOL-joueus'!$D$5:$D$808,C14,'[1]POOL-joueus'!$F$5:F$808)</f>
        <v>6</v>
      </c>
      <c r="H14" s="30">
        <f>SUMIF('[1]POOL-joueus'!$D$5:$D$808,C14,'[1]POOL-joueus'!$G$5:G$808)</f>
        <v>10</v>
      </c>
      <c r="I14" s="91">
        <f t="shared" si="0"/>
        <v>16</v>
      </c>
      <c r="J14" s="81">
        <f t="shared" si="1"/>
        <v>0.3076923076923077</v>
      </c>
      <c r="K14" s="30">
        <f>SUMIF('[1]Pool-gardien'!$D$5:$D$127,C14,'[1]Pool-gardien'!$F$5:$F$127)</f>
        <v>0</v>
      </c>
      <c r="L14" s="30">
        <f>SUMIF('[1]Pool-gardien'!$D$5:$D$127,C14,'[1]Pool-gardien'!$G$5:$G$127)</f>
        <v>0</v>
      </c>
      <c r="M14" s="30">
        <f>SUMIF('[1]Pool-gardien'!$D$5:$D$127,C14,'[1]Pool-gardien'!$H$5:$H$127)</f>
        <v>0</v>
      </c>
      <c r="N14" s="91">
        <f>SUMIF('[1]Pool-gardien'!$D$5:$D$127,C14,'[1]Pool-gardien'!$K$5:$K$127)</f>
        <v>0</v>
      </c>
      <c r="O14" s="30">
        <f>SUMIF('[1]Equipes-Pool'!$B$6:$B$35,C14,'[1]Equipes-Pool'!$D$6:$D$35)</f>
        <v>0</v>
      </c>
      <c r="P14" s="30">
        <f>SUMIF('[1]Equipes-Pool'!$B$6:$B$35,C14,'[1]Equipes-Pool'!$E$6:$E$35)</f>
        <v>0</v>
      </c>
      <c r="Q14" s="30">
        <f>SUMIF('[1]Equipes-Pool'!$B$6:$B$35,C14,'[1]Equipes-Pool'!$F$6:$F$35)</f>
        <v>0</v>
      </c>
      <c r="R14" s="91">
        <f>SUMIF('[1]Equipes-Pool'!$B$6:$B$35,C14,'[1]Equipes-Pool'!$G$6:$G$35)</f>
        <v>0</v>
      </c>
    </row>
    <row r="15" spans="1:18" ht="15.75">
      <c r="A15" s="12" t="s">
        <v>24</v>
      </c>
      <c r="B15" s="14" t="s">
        <v>55</v>
      </c>
      <c r="C15" s="55" t="s">
        <v>56</v>
      </c>
      <c r="D15" s="31" t="s">
        <v>371</v>
      </c>
      <c r="E15" s="10" t="s">
        <v>8</v>
      </c>
      <c r="F15" s="30">
        <f>SUMIF('[1]POOL-joueus'!$D$5:$D$808,C15,'[1]POOL-joueus'!$E$5:$E$808)</f>
        <v>64</v>
      </c>
      <c r="G15" s="30">
        <f>SUMIF('[1]POOL-joueus'!$D$5:$D$808,C15,'[1]POOL-joueus'!$F$5:F$808)</f>
        <v>9</v>
      </c>
      <c r="H15" s="30">
        <f>SUMIF('[1]POOL-joueus'!$D$5:$D$808,C15,'[1]POOL-joueus'!$G$5:G$808)</f>
        <v>23</v>
      </c>
      <c r="I15" s="91">
        <f t="shared" si="0"/>
        <v>32</v>
      </c>
      <c r="J15" s="81">
        <f t="shared" si="1"/>
        <v>0.5</v>
      </c>
      <c r="K15" s="30">
        <f>SUMIF('[1]Pool-gardien'!$D$5:$D$127,C15,'[1]Pool-gardien'!$F$5:$F$127)</f>
        <v>0</v>
      </c>
      <c r="L15" s="30">
        <f>SUMIF('[1]Pool-gardien'!$D$5:$D$127,C15,'[1]Pool-gardien'!$G$5:$G$127)</f>
        <v>0</v>
      </c>
      <c r="M15" s="30">
        <f>SUMIF('[1]Pool-gardien'!$D$5:$D$127,C15,'[1]Pool-gardien'!$H$5:$H$127)</f>
        <v>0</v>
      </c>
      <c r="N15" s="91">
        <f>SUMIF('[1]Pool-gardien'!$D$5:$D$127,C15,'[1]Pool-gardien'!$K$5:$K$127)</f>
        <v>0</v>
      </c>
      <c r="O15" s="30">
        <f>SUMIF('[1]Equipes-Pool'!$B$6:$B$35,C15,'[1]Equipes-Pool'!$D$6:$D$35)</f>
        <v>0</v>
      </c>
      <c r="P15" s="30">
        <f>SUMIF('[1]Equipes-Pool'!$B$6:$B$35,C15,'[1]Equipes-Pool'!$E$6:$E$35)</f>
        <v>0</v>
      </c>
      <c r="Q15" s="30">
        <f>SUMIF('[1]Equipes-Pool'!$B$6:$B$35,C15,'[1]Equipes-Pool'!$F$6:$F$35)</f>
        <v>0</v>
      </c>
      <c r="R15" s="91">
        <f>SUMIF('[1]Equipes-Pool'!$B$6:$B$35,C15,'[1]Equipes-Pool'!$G$6:$G$35)</f>
        <v>0</v>
      </c>
    </row>
    <row r="16" spans="1:18" ht="15.75">
      <c r="A16" s="12" t="s">
        <v>40</v>
      </c>
      <c r="B16" s="14" t="s">
        <v>57</v>
      </c>
      <c r="C16" s="55" t="s">
        <v>61</v>
      </c>
      <c r="D16" s="31" t="s">
        <v>371</v>
      </c>
      <c r="E16" s="10" t="s">
        <v>60</v>
      </c>
      <c r="F16" s="84">
        <f>SUMIF('[1]POOL-joueus'!$D$5:$D$808,C16,'[1]POOL-joueus'!$E$5:$E$808)</f>
        <v>65</v>
      </c>
      <c r="G16" s="84">
        <f>SUMIF('[1]POOL-joueus'!$D$5:$D$808,C16,'[1]POOL-joueus'!$F$5:F$808)</f>
        <v>27</v>
      </c>
      <c r="H16" s="84">
        <f>SUMIF('[1]POOL-joueus'!$D$5:$D$808,C16,'[1]POOL-joueus'!$G$5:G$808)</f>
        <v>28</v>
      </c>
      <c r="I16" s="90">
        <f t="shared" si="0"/>
        <v>55</v>
      </c>
      <c r="J16" s="85">
        <f t="shared" si="1"/>
        <v>0.8461538461538461</v>
      </c>
      <c r="K16" s="30">
        <f>SUMIF('[1]Pool-gardien'!$D$5:$D$127,C16,'[1]Pool-gardien'!$F$5:$F$127)</f>
        <v>0</v>
      </c>
      <c r="L16" s="30">
        <f>SUMIF('[1]Pool-gardien'!$D$5:$D$127,C16,'[1]Pool-gardien'!$G$5:$G$127)</f>
        <v>0</v>
      </c>
      <c r="M16" s="30">
        <f>SUMIF('[1]Pool-gardien'!$D$5:$D$127,C16,'[1]Pool-gardien'!$H$5:$H$127)</f>
        <v>0</v>
      </c>
      <c r="N16" s="91">
        <f>SUMIF('[1]Pool-gardien'!$D$5:$D$127,C16,'[1]Pool-gardien'!$K$5:$K$127)</f>
        <v>0</v>
      </c>
      <c r="O16" s="30">
        <f>SUMIF('[1]Equipes-Pool'!$B$6:$B$35,C16,'[1]Equipes-Pool'!$D$6:$D$35)</f>
        <v>0</v>
      </c>
      <c r="P16" s="30">
        <f>SUMIF('[1]Equipes-Pool'!$B$6:$B$35,C16,'[1]Equipes-Pool'!$E$6:$E$35)</f>
        <v>0</v>
      </c>
      <c r="Q16" s="30">
        <f>SUMIF('[1]Equipes-Pool'!$B$6:$B$35,C16,'[1]Equipes-Pool'!$F$6:$F$35)</f>
        <v>0</v>
      </c>
      <c r="R16" s="91">
        <f>SUMIF('[1]Equipes-Pool'!$B$6:$B$35,C16,'[1]Equipes-Pool'!$G$6:$G$35)</f>
        <v>0</v>
      </c>
    </row>
    <row r="17" spans="1:18" ht="16.5" thickBot="1">
      <c r="A17" s="49" t="s">
        <v>33</v>
      </c>
      <c r="B17" s="50" t="s">
        <v>50</v>
      </c>
      <c r="C17" s="66" t="s">
        <v>66</v>
      </c>
      <c r="D17" s="60" t="s">
        <v>371</v>
      </c>
      <c r="E17" s="59" t="s">
        <v>65</v>
      </c>
      <c r="F17" s="96">
        <f>SUMIF('[1]POOL-joueus'!$D$5:$D$808,C17,'[1]POOL-joueus'!$E$5:$E$808)</f>
        <v>66</v>
      </c>
      <c r="G17" s="96">
        <f>SUMIF('[1]POOL-joueus'!$D$5:$D$808,C17,'[1]POOL-joueus'!$F$5:F$808)</f>
        <v>6</v>
      </c>
      <c r="H17" s="96">
        <f>SUMIF('[1]POOL-joueus'!$D$5:$D$808,C17,'[1]POOL-joueus'!$G$5:G$808)</f>
        <v>23</v>
      </c>
      <c r="I17" s="97">
        <f t="shared" si="0"/>
        <v>29</v>
      </c>
      <c r="J17" s="98">
        <f t="shared" si="1"/>
        <v>0.4393939393939394</v>
      </c>
      <c r="K17" s="99">
        <f>SUMIF('[1]Pool-gardien'!$D$5:$D$127,C17,'[1]Pool-gardien'!$F$5:$F$127)</f>
        <v>0</v>
      </c>
      <c r="L17" s="99">
        <f>SUMIF('[1]Pool-gardien'!$D$5:$D$127,C17,'[1]Pool-gardien'!$G$5:$G$127)</f>
        <v>0</v>
      </c>
      <c r="M17" s="99">
        <f>SUMIF('[1]Pool-gardien'!$D$5:$D$127,C17,'[1]Pool-gardien'!$H$5:$H$127)</f>
        <v>0</v>
      </c>
      <c r="N17" s="100">
        <f>SUMIF('[1]Pool-gardien'!$D$5:$D$127,C17,'[1]Pool-gardien'!$K$5:$K$127)</f>
        <v>0</v>
      </c>
      <c r="O17" s="99">
        <f>SUMIF('[1]Equipes-Pool'!$B$6:$B$35,C17,'[1]Equipes-Pool'!$D$6:$D$35)</f>
        <v>0</v>
      </c>
      <c r="P17" s="99">
        <f>SUMIF('[1]Equipes-Pool'!$B$6:$B$35,C17,'[1]Equipes-Pool'!$E$6:$E$35)</f>
        <v>0</v>
      </c>
      <c r="Q17" s="99">
        <f>SUMIF('[1]Equipes-Pool'!$B$6:$B$35,C17,'[1]Equipes-Pool'!$F$6:$F$35)</f>
        <v>0</v>
      </c>
      <c r="R17" s="100">
        <f>SUMIF('[1]Equipes-Pool'!$B$6:$B$35,C17,'[1]Equipes-Pool'!$G$6:$G$35)</f>
        <v>0</v>
      </c>
    </row>
    <row r="18" spans="1:18" ht="15.75">
      <c r="A18" s="20" t="s">
        <v>12</v>
      </c>
      <c r="B18" s="21" t="s">
        <v>13</v>
      </c>
      <c r="C18" s="67" t="s">
        <v>14</v>
      </c>
      <c r="D18" s="61" t="s">
        <v>372</v>
      </c>
      <c r="E18" s="65" t="s">
        <v>8</v>
      </c>
      <c r="F18" s="40">
        <f>SUMIF('[1]POOL-joueus'!$D$5:$D$808,C18,'[1]POOL-joueus'!$E$5:$E$808)</f>
        <v>64</v>
      </c>
      <c r="G18" s="40">
        <f>SUMIF('[1]POOL-joueus'!$D$5:$D$808,C18,'[1]POOL-joueus'!$F$5:F$808)</f>
        <v>15</v>
      </c>
      <c r="H18" s="40">
        <f>SUMIF('[1]POOL-joueus'!$D$5:$D$808,C18,'[1]POOL-joueus'!$G$5:G$808)</f>
        <v>35</v>
      </c>
      <c r="I18" s="94">
        <f aca="true" t="shared" si="2" ref="I18:I81">SUM(G18:H18)</f>
        <v>50</v>
      </c>
      <c r="J18" s="95">
        <f aca="true" t="shared" si="3" ref="J18:J81">I18/F18</f>
        <v>0.78125</v>
      </c>
      <c r="K18" s="35">
        <f>SUMIF('[1]Pool-gardien'!$D$5:$D$127,C18,'[1]Pool-gardien'!$F$5:$F$127)</f>
        <v>0</v>
      </c>
      <c r="L18" s="35">
        <f>SUMIF('[1]Pool-gardien'!$D$5:$D$127,C18,'[1]Pool-gardien'!$G$5:$G$127)</f>
        <v>0</v>
      </c>
      <c r="M18" s="35">
        <f>SUMIF('[1]Pool-gardien'!$D$5:$D$127,C18,'[1]Pool-gardien'!$H$5:$H$127)</f>
        <v>0</v>
      </c>
      <c r="N18" s="89">
        <f>SUMIF('[1]Pool-gardien'!$D$5:$D$127,C18,'[1]Pool-gardien'!$K$5:$K$127)</f>
        <v>0</v>
      </c>
      <c r="O18" s="35">
        <f>SUMIF('[1]Equipes-Pool'!$B$6:$B$35,C18,'[1]Equipes-Pool'!$D$6:$D$35)</f>
        <v>0</v>
      </c>
      <c r="P18" s="35">
        <f>SUMIF('[1]Equipes-Pool'!$B$6:$B$35,C18,'[1]Equipes-Pool'!$E$6:$E$35)</f>
        <v>0</v>
      </c>
      <c r="Q18" s="35">
        <f>SUMIF('[1]Equipes-Pool'!$B$6:$B$35,C18,'[1]Equipes-Pool'!$F$6:$F$35)</f>
        <v>0</v>
      </c>
      <c r="R18" s="89">
        <f>SUMIF('[1]Equipes-Pool'!$B$6:$B$35,C18,'[1]Equipes-Pool'!$G$6:$G$35)</f>
        <v>0</v>
      </c>
    </row>
    <row r="19" spans="1:18" ht="15.75">
      <c r="A19" s="12" t="s">
        <v>19</v>
      </c>
      <c r="B19" s="14" t="s">
        <v>20</v>
      </c>
      <c r="C19" s="55" t="s">
        <v>21</v>
      </c>
      <c r="D19" s="31" t="s">
        <v>372</v>
      </c>
      <c r="E19" s="10" t="s">
        <v>16</v>
      </c>
      <c r="F19" s="30">
        <f>SUMIF('[1]POOL-joueus'!$D$5:$D$808,C19,'[1]POOL-joueus'!$E$5:$E$808)</f>
        <v>64</v>
      </c>
      <c r="G19" s="30">
        <f>SUMIF('[1]POOL-joueus'!$D$5:$D$808,C19,'[1]POOL-joueus'!$F$5:F$808)</f>
        <v>4</v>
      </c>
      <c r="H19" s="30">
        <f>SUMIF('[1]POOL-joueus'!$D$5:$D$808,C19,'[1]POOL-joueus'!$G$5:G$808)</f>
        <v>17</v>
      </c>
      <c r="I19" s="91">
        <f t="shared" si="2"/>
        <v>21</v>
      </c>
      <c r="J19" s="81">
        <f t="shared" si="3"/>
        <v>0.328125</v>
      </c>
      <c r="K19" s="30">
        <f>SUMIF('[1]Pool-gardien'!$D$5:$D$127,C19,'[1]Pool-gardien'!$F$5:$F$127)</f>
        <v>0</v>
      </c>
      <c r="L19" s="30">
        <f>SUMIF('[1]Pool-gardien'!$D$5:$D$127,C19,'[1]Pool-gardien'!$G$5:$G$127)</f>
        <v>0</v>
      </c>
      <c r="M19" s="30">
        <f>SUMIF('[1]Pool-gardien'!$D$5:$D$127,C19,'[1]Pool-gardien'!$H$5:$H$127)</f>
        <v>0</v>
      </c>
      <c r="N19" s="91">
        <f>SUMIF('[1]Pool-gardien'!$D$5:$D$127,C19,'[1]Pool-gardien'!$K$5:$K$127)</f>
        <v>0</v>
      </c>
      <c r="O19" s="30">
        <f>SUMIF('[1]Equipes-Pool'!$B$6:$B$35,C19,'[1]Equipes-Pool'!$D$6:$D$35)</f>
        <v>0</v>
      </c>
      <c r="P19" s="30">
        <f>SUMIF('[1]Equipes-Pool'!$B$6:$B$35,C19,'[1]Equipes-Pool'!$E$6:$E$35)</f>
        <v>0</v>
      </c>
      <c r="Q19" s="30">
        <f>SUMIF('[1]Equipes-Pool'!$B$6:$B$35,C19,'[1]Equipes-Pool'!$F$6:$F$35)</f>
        <v>0</v>
      </c>
      <c r="R19" s="91">
        <f>SUMIF('[1]Equipes-Pool'!$B$6:$B$35,C19,'[1]Equipes-Pool'!$G$6:$G$35)</f>
        <v>0</v>
      </c>
    </row>
    <row r="20" spans="1:18" ht="15.75">
      <c r="A20" s="17" t="s">
        <v>28</v>
      </c>
      <c r="B20" s="18" t="s">
        <v>29</v>
      </c>
      <c r="C20" s="68" t="s">
        <v>30</v>
      </c>
      <c r="D20" s="31" t="s">
        <v>372</v>
      </c>
      <c r="E20" s="10" t="s">
        <v>27</v>
      </c>
      <c r="F20" s="82">
        <f>SUMIF('[1]Pool-gardien'!$D$5:$D$127,C20,'[1]Pool-gardien'!$E$5:$E$127)</f>
        <v>33</v>
      </c>
      <c r="G20" s="82">
        <f>SUMIF('[1]Pool-gardien'!$D$5:$D$127,C20,'[1]Pool-gardien'!$I$5:$I$127)</f>
        <v>0</v>
      </c>
      <c r="H20" s="82">
        <f>SUMIF('[1]Pool-gardien'!$D$5:$D$127,C20,'[1]Pool-gardien'!$J$5:$J$127)</f>
        <v>0</v>
      </c>
      <c r="I20" s="92">
        <f t="shared" si="2"/>
        <v>0</v>
      </c>
      <c r="J20" s="81">
        <f t="shared" si="3"/>
        <v>0</v>
      </c>
      <c r="K20" s="82">
        <f>SUMIF('[1]Pool-gardien'!$D$5:$D$127,C20,'[1]Pool-gardien'!$F$5:$F$127)</f>
        <v>11</v>
      </c>
      <c r="L20" s="82">
        <f>SUMIF('[1]Pool-gardien'!$D$5:$D$127,C20,'[1]Pool-gardien'!$G$5:$G$127)</f>
        <v>3</v>
      </c>
      <c r="M20" s="82">
        <f>SUMIF('[1]Pool-gardien'!$D$5:$D$127,C20,'[1]Pool-gardien'!$H$5:$H$127)</f>
        <v>3</v>
      </c>
      <c r="N20" s="92">
        <f>SUMIF('[1]Pool-gardien'!$D$5:$D$127,C20,'[1]Pool-gardien'!$K$5:$K$127)</f>
        <v>37</v>
      </c>
      <c r="O20" s="30">
        <f>SUMIF('[1]Equipes-Pool'!$B$6:$B$35,C20,'[1]Equipes-Pool'!$D$6:$D$35)</f>
        <v>0</v>
      </c>
      <c r="P20" s="30">
        <f>SUMIF('[1]Equipes-Pool'!$B$6:$B$35,C20,'[1]Equipes-Pool'!$E$6:$E$35)</f>
        <v>0</v>
      </c>
      <c r="Q20" s="30">
        <f>SUMIF('[1]Equipes-Pool'!$B$6:$B$35,C20,'[1]Equipes-Pool'!$F$6:$F$35)</f>
        <v>0</v>
      </c>
      <c r="R20" s="91">
        <f>SUMIF('[1]Equipes-Pool'!$B$6:$B$35,C20,'[1]Equipes-Pool'!$G$6:$G$35)</f>
        <v>0</v>
      </c>
    </row>
    <row r="21" spans="1:18" ht="15.75">
      <c r="A21" s="12" t="s">
        <v>33</v>
      </c>
      <c r="B21" s="14" t="s">
        <v>36</v>
      </c>
      <c r="C21" s="55" t="s">
        <v>37</v>
      </c>
      <c r="D21" s="31" t="s">
        <v>372</v>
      </c>
      <c r="E21" s="10" t="s">
        <v>8</v>
      </c>
      <c r="F21" s="84">
        <f>SUMIF('[1]POOL-joueus'!$D$5:$D$808,C21,'[1]POOL-joueus'!$E$5:$E$808)</f>
        <v>66</v>
      </c>
      <c r="G21" s="84">
        <f>SUMIF('[1]POOL-joueus'!$D$5:$D$808,C21,'[1]POOL-joueus'!$F$5:F$808)</f>
        <v>13</v>
      </c>
      <c r="H21" s="84">
        <f>SUMIF('[1]POOL-joueus'!$D$5:$D$808,C21,'[1]POOL-joueus'!$G$5:G$808)</f>
        <v>22</v>
      </c>
      <c r="I21" s="90">
        <f t="shared" si="2"/>
        <v>35</v>
      </c>
      <c r="J21" s="85">
        <f t="shared" si="3"/>
        <v>0.5303030303030303</v>
      </c>
      <c r="K21" s="30">
        <f>SUMIF('[1]Pool-gardien'!$D$5:$D$127,C21,'[1]Pool-gardien'!$F$5:$F$127)</f>
        <v>0</v>
      </c>
      <c r="L21" s="30">
        <f>SUMIF('[1]Pool-gardien'!$D$5:$D$127,C21,'[1]Pool-gardien'!$G$5:$G$127)</f>
        <v>0</v>
      </c>
      <c r="M21" s="30">
        <f>SUMIF('[1]Pool-gardien'!$D$5:$D$127,C21,'[1]Pool-gardien'!$H$5:$H$127)</f>
        <v>0</v>
      </c>
      <c r="N21" s="91">
        <f>SUMIF('[1]Pool-gardien'!$D$5:$D$127,C21,'[1]Pool-gardien'!$K$5:$K$127)</f>
        <v>0</v>
      </c>
      <c r="O21" s="30">
        <f>SUMIF('[1]Equipes-Pool'!$B$6:$B$35,C21,'[1]Equipes-Pool'!$D$6:$D$35)</f>
        <v>0</v>
      </c>
      <c r="P21" s="30">
        <f>SUMIF('[1]Equipes-Pool'!$B$6:$B$35,C21,'[1]Equipes-Pool'!$E$6:$E$35)</f>
        <v>0</v>
      </c>
      <c r="Q21" s="30">
        <f>SUMIF('[1]Equipes-Pool'!$B$6:$B$35,C21,'[1]Equipes-Pool'!$F$6:$F$35)</f>
        <v>0</v>
      </c>
      <c r="R21" s="91">
        <f>SUMIF('[1]Equipes-Pool'!$B$6:$B$35,C21,'[1]Equipes-Pool'!$G$6:$G$35)</f>
        <v>0</v>
      </c>
    </row>
    <row r="22" spans="1:18" ht="15.75">
      <c r="A22" s="12" t="s">
        <v>24</v>
      </c>
      <c r="B22" s="14" t="s">
        <v>20</v>
      </c>
      <c r="C22" s="55" t="s">
        <v>43</v>
      </c>
      <c r="D22" s="31" t="s">
        <v>372</v>
      </c>
      <c r="E22" s="10" t="s">
        <v>39</v>
      </c>
      <c r="F22" s="30">
        <f>SUMIF('[1]POOL-joueus'!$D$5:$D$808,C22,'[1]POOL-joueus'!$E$5:$E$808)</f>
        <v>24</v>
      </c>
      <c r="G22" s="30">
        <f>SUMIF('[1]POOL-joueus'!$D$5:$D$808,C22,'[1]POOL-joueus'!$F$5:F$808)</f>
        <v>3</v>
      </c>
      <c r="H22" s="30">
        <f>SUMIF('[1]POOL-joueus'!$D$5:$D$808,C22,'[1]POOL-joueus'!$G$5:G$808)</f>
        <v>8</v>
      </c>
      <c r="I22" s="91">
        <f t="shared" si="2"/>
        <v>11</v>
      </c>
      <c r="J22" s="81">
        <f t="shared" si="3"/>
        <v>0.4583333333333333</v>
      </c>
      <c r="K22" s="30">
        <f>SUMIF('[1]Pool-gardien'!$D$5:$D$127,C22,'[1]Pool-gardien'!$F$5:$F$127)</f>
        <v>0</v>
      </c>
      <c r="L22" s="30">
        <f>SUMIF('[1]Pool-gardien'!$D$5:$D$127,C22,'[1]Pool-gardien'!$G$5:$G$127)</f>
        <v>0</v>
      </c>
      <c r="M22" s="30">
        <f>SUMIF('[1]Pool-gardien'!$D$5:$D$127,C22,'[1]Pool-gardien'!$H$5:$H$127)</f>
        <v>0</v>
      </c>
      <c r="N22" s="91">
        <f>SUMIF('[1]Pool-gardien'!$D$5:$D$127,C22,'[1]Pool-gardien'!$K$5:$K$127)</f>
        <v>0</v>
      </c>
      <c r="O22" s="30">
        <f>SUMIF('[1]Equipes-Pool'!$B$6:$B$35,C22,'[1]Equipes-Pool'!$D$6:$D$35)</f>
        <v>0</v>
      </c>
      <c r="P22" s="30">
        <f>SUMIF('[1]Equipes-Pool'!$B$6:$B$35,C22,'[1]Equipes-Pool'!$E$6:$E$35)</f>
        <v>0</v>
      </c>
      <c r="Q22" s="30">
        <f>SUMIF('[1]Equipes-Pool'!$B$6:$B$35,C22,'[1]Equipes-Pool'!$F$6:$F$35)</f>
        <v>0</v>
      </c>
      <c r="R22" s="91">
        <f>SUMIF('[1]Equipes-Pool'!$B$6:$B$35,C22,'[1]Equipes-Pool'!$G$6:$G$35)</f>
        <v>0</v>
      </c>
    </row>
    <row r="23" spans="1:18" ht="15.75">
      <c r="A23" s="12" t="s">
        <v>12</v>
      </c>
      <c r="B23" s="14" t="s">
        <v>20</v>
      </c>
      <c r="C23" s="55" t="s">
        <v>47</v>
      </c>
      <c r="D23" s="31" t="s">
        <v>372</v>
      </c>
      <c r="E23" s="10" t="s">
        <v>45</v>
      </c>
      <c r="F23" s="84">
        <f>SUMIF('[1]POOL-joueus'!$D$5:$D$808,C23,'[1]POOL-joueus'!$E$5:$E$808)</f>
        <v>63</v>
      </c>
      <c r="G23" s="84">
        <f>SUMIF('[1]POOL-joueus'!$D$5:$D$808,C23,'[1]POOL-joueus'!$F$5:F$808)</f>
        <v>23</v>
      </c>
      <c r="H23" s="84">
        <f>SUMIF('[1]POOL-joueus'!$D$5:$D$808,C23,'[1]POOL-joueus'!$G$5:G$808)</f>
        <v>27</v>
      </c>
      <c r="I23" s="90">
        <f t="shared" si="2"/>
        <v>50</v>
      </c>
      <c r="J23" s="85">
        <f t="shared" si="3"/>
        <v>0.7936507936507936</v>
      </c>
      <c r="K23" s="30">
        <f>SUMIF('[1]Pool-gardien'!$D$5:$D$127,C23,'[1]Pool-gardien'!$F$5:$F$127)</f>
        <v>0</v>
      </c>
      <c r="L23" s="30">
        <f>SUMIF('[1]Pool-gardien'!$D$5:$D$127,C23,'[1]Pool-gardien'!$G$5:$G$127)</f>
        <v>0</v>
      </c>
      <c r="M23" s="30">
        <f>SUMIF('[1]Pool-gardien'!$D$5:$D$127,C23,'[1]Pool-gardien'!$H$5:$H$127)</f>
        <v>0</v>
      </c>
      <c r="N23" s="91">
        <f>SUMIF('[1]Pool-gardien'!$D$5:$D$127,C23,'[1]Pool-gardien'!$K$5:$K$127)</f>
        <v>0</v>
      </c>
      <c r="O23" s="30">
        <f>SUMIF('[1]Equipes-Pool'!$B$6:$B$35,C23,'[1]Equipes-Pool'!$D$6:$D$35)</f>
        <v>0</v>
      </c>
      <c r="P23" s="30">
        <f>SUMIF('[1]Equipes-Pool'!$B$6:$B$35,C23,'[1]Equipes-Pool'!$E$6:$E$35)</f>
        <v>0</v>
      </c>
      <c r="Q23" s="30">
        <f>SUMIF('[1]Equipes-Pool'!$B$6:$B$35,C23,'[1]Equipes-Pool'!$F$6:$F$35)</f>
        <v>0</v>
      </c>
      <c r="R23" s="91">
        <f>SUMIF('[1]Equipes-Pool'!$B$6:$B$35,C23,'[1]Equipes-Pool'!$G$6:$G$35)</f>
        <v>0</v>
      </c>
    </row>
    <row r="24" spans="1:18" ht="15.75">
      <c r="A24" s="12" t="s">
        <v>33</v>
      </c>
      <c r="B24" s="14" t="s">
        <v>36</v>
      </c>
      <c r="C24" s="55" t="s">
        <v>53</v>
      </c>
      <c r="D24" s="31" t="s">
        <v>372</v>
      </c>
      <c r="E24" s="10" t="s">
        <v>52</v>
      </c>
      <c r="F24" s="84">
        <f>SUMIF('[1]POOL-joueus'!$D$5:$D$808,C24,'[1]POOL-joueus'!$E$5:$E$808)</f>
        <v>56</v>
      </c>
      <c r="G24" s="84">
        <f>SUMIF('[1]POOL-joueus'!$D$5:$D$808,C24,'[1]POOL-joueus'!$F$5:F$808)</f>
        <v>12</v>
      </c>
      <c r="H24" s="84">
        <f>SUMIF('[1]POOL-joueus'!$D$5:$D$808,C24,'[1]POOL-joueus'!$G$5:G$808)</f>
        <v>21</v>
      </c>
      <c r="I24" s="90">
        <f t="shared" si="2"/>
        <v>33</v>
      </c>
      <c r="J24" s="85">
        <f t="shared" si="3"/>
        <v>0.5892857142857143</v>
      </c>
      <c r="K24" s="30">
        <f>SUMIF('[1]Pool-gardien'!$D$5:$D$127,C24,'[1]Pool-gardien'!$F$5:$F$127)</f>
        <v>0</v>
      </c>
      <c r="L24" s="30">
        <f>SUMIF('[1]Pool-gardien'!$D$5:$D$127,C24,'[1]Pool-gardien'!$G$5:$G$127)</f>
        <v>0</v>
      </c>
      <c r="M24" s="30">
        <f>SUMIF('[1]Pool-gardien'!$D$5:$D$127,C24,'[1]Pool-gardien'!$H$5:$H$127)</f>
        <v>0</v>
      </c>
      <c r="N24" s="91">
        <f>SUMIF('[1]Pool-gardien'!$D$5:$D$127,C24,'[1]Pool-gardien'!$K$5:$K$127)</f>
        <v>0</v>
      </c>
      <c r="O24" s="30">
        <f>SUMIF('[1]Equipes-Pool'!$B$6:$B$35,C24,'[1]Equipes-Pool'!$D$6:$D$35)</f>
        <v>0</v>
      </c>
      <c r="P24" s="30">
        <f>SUMIF('[1]Equipes-Pool'!$B$6:$B$35,C24,'[1]Equipes-Pool'!$E$6:$E$35)</f>
        <v>0</v>
      </c>
      <c r="Q24" s="30">
        <f>SUMIF('[1]Equipes-Pool'!$B$6:$B$35,C24,'[1]Equipes-Pool'!$F$6:$F$35)</f>
        <v>0</v>
      </c>
      <c r="R24" s="91">
        <f>SUMIF('[1]Equipes-Pool'!$B$6:$B$35,C24,'[1]Equipes-Pool'!$G$6:$G$35)</f>
        <v>0</v>
      </c>
    </row>
    <row r="25" spans="1:18" ht="15.75">
      <c r="A25" s="12" t="s">
        <v>40</v>
      </c>
      <c r="B25" s="14" t="s">
        <v>57</v>
      </c>
      <c r="C25" s="55" t="s">
        <v>58</v>
      </c>
      <c r="D25" s="31" t="s">
        <v>372</v>
      </c>
      <c r="E25" s="10" t="s">
        <v>27</v>
      </c>
      <c r="F25" s="84">
        <f>SUMIF('[1]POOL-joueus'!$D$5:$D$808,C25,'[1]POOL-joueus'!$E$5:$E$808)</f>
        <v>29</v>
      </c>
      <c r="G25" s="84">
        <f>SUMIF('[1]POOL-joueus'!$D$5:$D$808,C25,'[1]POOL-joueus'!$F$5:F$808)</f>
        <v>10</v>
      </c>
      <c r="H25" s="84">
        <f>SUMIF('[1]POOL-joueus'!$D$5:$D$808,C25,'[1]POOL-joueus'!$G$5:G$808)</f>
        <v>20</v>
      </c>
      <c r="I25" s="90">
        <f t="shared" si="2"/>
        <v>30</v>
      </c>
      <c r="J25" s="85">
        <f t="shared" si="3"/>
        <v>1.0344827586206897</v>
      </c>
      <c r="K25" s="30">
        <f>SUMIF('[1]Pool-gardien'!$D$5:$D$127,C25,'[1]Pool-gardien'!$F$5:$F$127)</f>
        <v>0</v>
      </c>
      <c r="L25" s="30">
        <f>SUMIF('[1]Pool-gardien'!$D$5:$D$127,C25,'[1]Pool-gardien'!$G$5:$G$127)</f>
        <v>0</v>
      </c>
      <c r="M25" s="30">
        <f>SUMIF('[1]Pool-gardien'!$D$5:$D$127,C25,'[1]Pool-gardien'!$H$5:$H$127)</f>
        <v>0</v>
      </c>
      <c r="N25" s="91">
        <f>SUMIF('[1]Pool-gardien'!$D$5:$D$127,C25,'[1]Pool-gardien'!$K$5:$K$127)</f>
        <v>0</v>
      </c>
      <c r="O25" s="30">
        <f>SUMIF('[1]Equipes-Pool'!$B$6:$B$35,C25,'[1]Equipes-Pool'!$D$6:$D$35)</f>
        <v>0</v>
      </c>
      <c r="P25" s="30">
        <f>SUMIF('[1]Equipes-Pool'!$B$6:$B$35,C25,'[1]Equipes-Pool'!$E$6:$E$35)</f>
        <v>0</v>
      </c>
      <c r="Q25" s="30">
        <f>SUMIF('[1]Equipes-Pool'!$B$6:$B$35,C25,'[1]Equipes-Pool'!$F$6:$F$35)</f>
        <v>0</v>
      </c>
      <c r="R25" s="91">
        <f>SUMIF('[1]Equipes-Pool'!$B$6:$B$35,C25,'[1]Equipes-Pool'!$G$6:$G$35)</f>
        <v>0</v>
      </c>
    </row>
    <row r="26" spans="1:18" ht="15.75">
      <c r="A26" s="12" t="s">
        <v>12</v>
      </c>
      <c r="B26" s="14" t="s">
        <v>36</v>
      </c>
      <c r="C26" s="55" t="s">
        <v>63</v>
      </c>
      <c r="D26" s="31" t="s">
        <v>372</v>
      </c>
      <c r="E26" s="10" t="s">
        <v>8</v>
      </c>
      <c r="F26" s="84">
        <f>SUMIF('[1]POOL-joueus'!$D$5:$D$808,C26,'[1]POOL-joueus'!$E$5:$E$808)</f>
        <v>47</v>
      </c>
      <c r="G26" s="84">
        <f>SUMIF('[1]POOL-joueus'!$D$5:$D$808,C26,'[1]POOL-joueus'!$F$5:F$808)</f>
        <v>13</v>
      </c>
      <c r="H26" s="84">
        <f>SUMIF('[1]POOL-joueus'!$D$5:$D$808,C26,'[1]POOL-joueus'!$G$5:G$808)</f>
        <v>24</v>
      </c>
      <c r="I26" s="90">
        <f t="shared" si="2"/>
        <v>37</v>
      </c>
      <c r="J26" s="85">
        <f t="shared" si="3"/>
        <v>0.7872340425531915</v>
      </c>
      <c r="K26" s="30">
        <f>SUMIF('[1]Pool-gardien'!$D$5:$D$127,C26,'[1]Pool-gardien'!$F$5:$F$127)</f>
        <v>0</v>
      </c>
      <c r="L26" s="30">
        <f>SUMIF('[1]Pool-gardien'!$D$5:$D$127,C26,'[1]Pool-gardien'!$G$5:$G$127)</f>
        <v>0</v>
      </c>
      <c r="M26" s="30">
        <f>SUMIF('[1]Pool-gardien'!$D$5:$D$127,C26,'[1]Pool-gardien'!$H$5:$H$127)</f>
        <v>0</v>
      </c>
      <c r="N26" s="91">
        <f>SUMIF('[1]Pool-gardien'!$D$5:$D$127,C26,'[1]Pool-gardien'!$K$5:$K$127)</f>
        <v>0</v>
      </c>
      <c r="O26" s="30">
        <f>SUMIF('[1]Equipes-Pool'!$B$6:$B$35,C26,'[1]Equipes-Pool'!$D$6:$D$35)</f>
        <v>0</v>
      </c>
      <c r="P26" s="30">
        <f>SUMIF('[1]Equipes-Pool'!$B$6:$B$35,C26,'[1]Equipes-Pool'!$E$6:$E$35)</f>
        <v>0</v>
      </c>
      <c r="Q26" s="30">
        <f>SUMIF('[1]Equipes-Pool'!$B$6:$B$35,C26,'[1]Equipes-Pool'!$F$6:$F$35)</f>
        <v>0</v>
      </c>
      <c r="R26" s="91">
        <f>SUMIF('[1]Equipes-Pool'!$B$6:$B$35,C26,'[1]Equipes-Pool'!$G$6:$G$35)</f>
        <v>0</v>
      </c>
    </row>
    <row r="27" spans="1:18" ht="16.5" thickBot="1">
      <c r="A27" s="49" t="s">
        <v>40</v>
      </c>
      <c r="B27" s="50" t="s">
        <v>29</v>
      </c>
      <c r="C27" s="66" t="s">
        <v>67</v>
      </c>
      <c r="D27" s="60" t="s">
        <v>372</v>
      </c>
      <c r="E27" s="59" t="s">
        <v>65</v>
      </c>
      <c r="F27" s="96">
        <f>SUMIF('[1]POOL-joueus'!$D$5:$D$808,C27,'[1]POOL-joueus'!$E$5:$E$808)</f>
        <v>60</v>
      </c>
      <c r="G27" s="96">
        <f>SUMIF('[1]POOL-joueus'!$D$5:$D$808,C27,'[1]POOL-joueus'!$F$5:F$808)</f>
        <v>27</v>
      </c>
      <c r="H27" s="96">
        <f>SUMIF('[1]POOL-joueus'!$D$5:$D$808,C27,'[1]POOL-joueus'!$G$5:G$808)</f>
        <v>22</v>
      </c>
      <c r="I27" s="97">
        <f t="shared" si="2"/>
        <v>49</v>
      </c>
      <c r="J27" s="98">
        <f t="shared" si="3"/>
        <v>0.8166666666666667</v>
      </c>
      <c r="K27" s="99">
        <f>SUMIF('[1]Pool-gardien'!$D$5:$D$127,C27,'[1]Pool-gardien'!$F$5:$F$127)</f>
        <v>0</v>
      </c>
      <c r="L27" s="99">
        <f>SUMIF('[1]Pool-gardien'!$D$5:$D$127,C27,'[1]Pool-gardien'!$G$5:$G$127)</f>
        <v>0</v>
      </c>
      <c r="M27" s="99">
        <f>SUMIF('[1]Pool-gardien'!$D$5:$D$127,C27,'[1]Pool-gardien'!$H$5:$H$127)</f>
        <v>0</v>
      </c>
      <c r="N27" s="100">
        <f>SUMIF('[1]Pool-gardien'!$D$5:$D$127,C27,'[1]Pool-gardien'!$K$5:$K$127)</f>
        <v>0</v>
      </c>
      <c r="O27" s="99">
        <f>SUMIF('[1]Equipes-Pool'!$B$6:$B$35,C27,'[1]Equipes-Pool'!$D$6:$D$35)</f>
        <v>0</v>
      </c>
      <c r="P27" s="99">
        <f>SUMIF('[1]Equipes-Pool'!$B$6:$B$35,C27,'[1]Equipes-Pool'!$E$6:$E$35)</f>
        <v>0</v>
      </c>
      <c r="Q27" s="99">
        <f>SUMIF('[1]Equipes-Pool'!$B$6:$B$35,C27,'[1]Equipes-Pool'!$F$6:$F$35)</f>
        <v>0</v>
      </c>
      <c r="R27" s="100">
        <f>SUMIF('[1]Equipes-Pool'!$B$6:$B$35,C27,'[1]Equipes-Pool'!$G$6:$G$35)</f>
        <v>0</v>
      </c>
    </row>
    <row r="28" spans="1:18" ht="15.75">
      <c r="A28" s="20" t="s">
        <v>12</v>
      </c>
      <c r="B28" s="21" t="s">
        <v>70</v>
      </c>
      <c r="C28" s="67" t="s">
        <v>71</v>
      </c>
      <c r="D28" s="63" t="s">
        <v>373</v>
      </c>
      <c r="E28" s="65" t="s">
        <v>8</v>
      </c>
      <c r="F28" s="40">
        <f>SUMIF('[1]POOL-joueus'!$D$5:$D$808,C28,'[1]POOL-joueus'!$E$5:$E$808)</f>
        <v>52</v>
      </c>
      <c r="G28" s="40">
        <f>SUMIF('[1]POOL-joueus'!$D$5:$D$808,C28,'[1]POOL-joueus'!$F$5:F$808)</f>
        <v>9</v>
      </c>
      <c r="H28" s="40">
        <f>SUMIF('[1]POOL-joueus'!$D$5:$D$808,C28,'[1]POOL-joueus'!$G$5:G$808)</f>
        <v>13</v>
      </c>
      <c r="I28" s="94">
        <f t="shared" si="2"/>
        <v>22</v>
      </c>
      <c r="J28" s="95">
        <f t="shared" si="3"/>
        <v>0.4230769230769231</v>
      </c>
      <c r="K28" s="35">
        <f>SUMIF('[1]Pool-gardien'!$D$5:$D$127,C28,'[1]Pool-gardien'!$F$5:$F$127)</f>
        <v>0</v>
      </c>
      <c r="L28" s="35">
        <f>SUMIF('[1]Pool-gardien'!$D$5:$D$127,C28,'[1]Pool-gardien'!$G$5:$G$127)</f>
        <v>0</v>
      </c>
      <c r="M28" s="35">
        <f>SUMIF('[1]Pool-gardien'!$D$5:$D$127,C28,'[1]Pool-gardien'!$H$5:$H$127)</f>
        <v>0</v>
      </c>
      <c r="N28" s="89">
        <f>SUMIF('[1]Pool-gardien'!$D$5:$D$127,C28,'[1]Pool-gardien'!$K$5:$K$127)</f>
        <v>0</v>
      </c>
      <c r="O28" s="35">
        <f>SUMIF('[1]Equipes-Pool'!$B$6:$B$35,C28,'[1]Equipes-Pool'!$D$6:$D$35)</f>
        <v>0</v>
      </c>
      <c r="P28" s="35">
        <f>SUMIF('[1]Equipes-Pool'!$B$6:$B$35,C28,'[1]Equipes-Pool'!$E$6:$E$35)</f>
        <v>0</v>
      </c>
      <c r="Q28" s="35">
        <f>SUMIF('[1]Equipes-Pool'!$B$6:$B$35,C28,'[1]Equipes-Pool'!$F$6:$F$35)</f>
        <v>0</v>
      </c>
      <c r="R28" s="89">
        <f>SUMIF('[1]Equipes-Pool'!$B$6:$B$35,C28,'[1]Equipes-Pool'!$G$6:$G$35)</f>
        <v>0</v>
      </c>
    </row>
    <row r="29" spans="1:18" ht="15.75">
      <c r="A29" s="12" t="s">
        <v>12</v>
      </c>
      <c r="B29" s="14" t="s">
        <v>34</v>
      </c>
      <c r="C29" s="55" t="s">
        <v>73</v>
      </c>
      <c r="D29" s="62" t="s">
        <v>373</v>
      </c>
      <c r="E29" s="10" t="s">
        <v>8</v>
      </c>
      <c r="F29" s="84">
        <f>SUMIF('[1]POOL-joueus'!$D$5:$D$808,C29,'[1]POOL-joueus'!$E$5:$E$808)</f>
        <v>66</v>
      </c>
      <c r="G29" s="84">
        <f>SUMIF('[1]POOL-joueus'!$D$5:$D$808,C29,'[1]POOL-joueus'!$F$5:F$808)</f>
        <v>19</v>
      </c>
      <c r="H29" s="84">
        <f>SUMIF('[1]POOL-joueus'!$D$5:$D$808,C29,'[1]POOL-joueus'!$G$5:G$808)</f>
        <v>31</v>
      </c>
      <c r="I29" s="90">
        <f t="shared" si="2"/>
        <v>50</v>
      </c>
      <c r="J29" s="85">
        <f t="shared" si="3"/>
        <v>0.7575757575757576</v>
      </c>
      <c r="K29" s="30">
        <f>SUMIF('[1]Pool-gardien'!$D$5:$D$127,C29,'[1]Pool-gardien'!$F$5:$F$127)</f>
        <v>0</v>
      </c>
      <c r="L29" s="30">
        <f>SUMIF('[1]Pool-gardien'!$D$5:$D$127,C29,'[1]Pool-gardien'!$G$5:$G$127)</f>
        <v>0</v>
      </c>
      <c r="M29" s="30">
        <f>SUMIF('[1]Pool-gardien'!$D$5:$D$127,C29,'[1]Pool-gardien'!$H$5:$H$127)</f>
        <v>0</v>
      </c>
      <c r="N29" s="91">
        <f>SUMIF('[1]Pool-gardien'!$D$5:$D$127,C29,'[1]Pool-gardien'!$K$5:$K$127)</f>
        <v>0</v>
      </c>
      <c r="O29" s="30">
        <f>SUMIF('[1]Equipes-Pool'!$B$6:$B$35,C29,'[1]Equipes-Pool'!$D$6:$D$35)</f>
        <v>0</v>
      </c>
      <c r="P29" s="30">
        <f>SUMIF('[1]Equipes-Pool'!$B$6:$B$35,C29,'[1]Equipes-Pool'!$E$6:$E$35)</f>
        <v>0</v>
      </c>
      <c r="Q29" s="30">
        <f>SUMIF('[1]Equipes-Pool'!$B$6:$B$35,C29,'[1]Equipes-Pool'!$F$6:$F$35)</f>
        <v>0</v>
      </c>
      <c r="R29" s="91">
        <f>SUMIF('[1]Equipes-Pool'!$B$6:$B$35,C29,'[1]Equipes-Pool'!$G$6:$G$35)</f>
        <v>0</v>
      </c>
    </row>
    <row r="30" spans="1:18" ht="15.75">
      <c r="A30" s="20" t="s">
        <v>33</v>
      </c>
      <c r="B30" s="21" t="s">
        <v>75</v>
      </c>
      <c r="C30" s="55" t="s">
        <v>76</v>
      </c>
      <c r="D30" s="62" t="s">
        <v>373</v>
      </c>
      <c r="E30" s="10" t="s">
        <v>32</v>
      </c>
      <c r="F30" s="84">
        <f>SUMIF('[1]POOL-joueus'!$D$5:$D$808,C30,'[1]POOL-joueus'!$E$5:$E$808)</f>
        <v>53</v>
      </c>
      <c r="G30" s="84">
        <f>SUMIF('[1]POOL-joueus'!$D$5:$D$808,C30,'[1]POOL-joueus'!$F$5:F$808)</f>
        <v>7</v>
      </c>
      <c r="H30" s="84">
        <f>SUMIF('[1]POOL-joueus'!$D$5:$D$808,C30,'[1]POOL-joueus'!$G$5:G$808)</f>
        <v>14</v>
      </c>
      <c r="I30" s="90">
        <f t="shared" si="2"/>
        <v>21</v>
      </c>
      <c r="J30" s="85">
        <f t="shared" si="3"/>
        <v>0.39622641509433965</v>
      </c>
      <c r="K30" s="30">
        <f>SUMIF('[1]Pool-gardien'!$D$5:$D$127,C30,'[1]Pool-gardien'!$F$5:$F$127)</f>
        <v>0</v>
      </c>
      <c r="L30" s="30">
        <f>SUMIF('[1]Pool-gardien'!$D$5:$D$127,C30,'[1]Pool-gardien'!$G$5:$G$127)</f>
        <v>0</v>
      </c>
      <c r="M30" s="30">
        <f>SUMIF('[1]Pool-gardien'!$D$5:$D$127,C30,'[1]Pool-gardien'!$H$5:$H$127)</f>
        <v>0</v>
      </c>
      <c r="N30" s="91">
        <f>SUMIF('[1]Pool-gardien'!$D$5:$D$127,C30,'[1]Pool-gardien'!$K$5:$K$127)</f>
        <v>0</v>
      </c>
      <c r="O30" s="30">
        <f>SUMIF('[1]Equipes-Pool'!$B$6:$B$35,C30,'[1]Equipes-Pool'!$D$6:$D$35)</f>
        <v>0</v>
      </c>
      <c r="P30" s="30">
        <f>SUMIF('[1]Equipes-Pool'!$B$6:$B$35,C30,'[1]Equipes-Pool'!$E$6:$E$35)</f>
        <v>0</v>
      </c>
      <c r="Q30" s="30">
        <f>SUMIF('[1]Equipes-Pool'!$B$6:$B$35,C30,'[1]Equipes-Pool'!$F$6:$F$35)</f>
        <v>0</v>
      </c>
      <c r="R30" s="91">
        <f>SUMIF('[1]Equipes-Pool'!$B$6:$B$35,C30,'[1]Equipes-Pool'!$G$6:$G$35)</f>
        <v>0</v>
      </c>
    </row>
    <row r="31" spans="1:18" ht="15.75">
      <c r="A31" s="20" t="s">
        <v>12</v>
      </c>
      <c r="B31" s="21" t="s">
        <v>78</v>
      </c>
      <c r="C31" s="55" t="s">
        <v>79</v>
      </c>
      <c r="D31" s="62" t="s">
        <v>373</v>
      </c>
      <c r="E31" s="10" t="s">
        <v>32</v>
      </c>
      <c r="F31" s="84">
        <f>SUMIF('[1]POOL-joueus'!$D$5:$D$808,C31,'[1]POOL-joueus'!$E$5:$E$808)</f>
        <v>54</v>
      </c>
      <c r="G31" s="84">
        <f>SUMIF('[1]POOL-joueus'!$D$5:$D$808,C31,'[1]POOL-joueus'!$F$5:F$808)</f>
        <v>23</v>
      </c>
      <c r="H31" s="84">
        <f>SUMIF('[1]POOL-joueus'!$D$5:$D$808,C31,'[1]POOL-joueus'!$G$5:G$808)</f>
        <v>15</v>
      </c>
      <c r="I31" s="90">
        <f t="shared" si="2"/>
        <v>38</v>
      </c>
      <c r="J31" s="85">
        <f t="shared" si="3"/>
        <v>0.7037037037037037</v>
      </c>
      <c r="K31" s="30">
        <f>SUMIF('[1]Pool-gardien'!$D$5:$D$127,C31,'[1]Pool-gardien'!$F$5:$F$127)</f>
        <v>0</v>
      </c>
      <c r="L31" s="30">
        <f>SUMIF('[1]Pool-gardien'!$D$5:$D$127,C31,'[1]Pool-gardien'!$G$5:$G$127)</f>
        <v>0</v>
      </c>
      <c r="M31" s="30">
        <f>SUMIF('[1]Pool-gardien'!$D$5:$D$127,C31,'[1]Pool-gardien'!$H$5:$H$127)</f>
        <v>0</v>
      </c>
      <c r="N31" s="91">
        <f>SUMIF('[1]Pool-gardien'!$D$5:$D$127,C31,'[1]Pool-gardien'!$K$5:$K$127)</f>
        <v>0</v>
      </c>
      <c r="O31" s="30">
        <f>SUMIF('[1]Equipes-Pool'!$B$6:$B$35,C31,'[1]Equipes-Pool'!$D$6:$D$35)</f>
        <v>0</v>
      </c>
      <c r="P31" s="30">
        <f>SUMIF('[1]Equipes-Pool'!$B$6:$B$35,C31,'[1]Equipes-Pool'!$E$6:$E$35)</f>
        <v>0</v>
      </c>
      <c r="Q31" s="30">
        <f>SUMIF('[1]Equipes-Pool'!$B$6:$B$35,C31,'[1]Equipes-Pool'!$F$6:$F$35)</f>
        <v>0</v>
      </c>
      <c r="R31" s="91">
        <f>SUMIF('[1]Equipes-Pool'!$B$6:$B$35,C31,'[1]Equipes-Pool'!$G$6:$G$35)</f>
        <v>0</v>
      </c>
    </row>
    <row r="32" spans="1:18" ht="15.75">
      <c r="A32" s="20" t="s">
        <v>12</v>
      </c>
      <c r="B32" s="21" t="s">
        <v>81</v>
      </c>
      <c r="C32" s="55" t="s">
        <v>82</v>
      </c>
      <c r="D32" s="62" t="s">
        <v>373</v>
      </c>
      <c r="E32" s="10" t="s">
        <v>39</v>
      </c>
      <c r="F32" s="84">
        <f>SUMIF('[1]POOL-joueus'!$D$5:$D$808,C32,'[1]POOL-joueus'!$E$5:$E$808)</f>
        <v>65</v>
      </c>
      <c r="G32" s="84">
        <f>SUMIF('[1]POOL-joueus'!$D$5:$D$808,C32,'[1]POOL-joueus'!$F$5:F$808)</f>
        <v>17</v>
      </c>
      <c r="H32" s="84">
        <f>SUMIF('[1]POOL-joueus'!$D$5:$D$808,C32,'[1]POOL-joueus'!$G$5:G$808)</f>
        <v>19</v>
      </c>
      <c r="I32" s="90">
        <f t="shared" si="2"/>
        <v>36</v>
      </c>
      <c r="J32" s="85">
        <f t="shared" si="3"/>
        <v>0.5538461538461539</v>
      </c>
      <c r="K32" s="30">
        <f>SUMIF('[1]Pool-gardien'!$D$5:$D$127,C32,'[1]Pool-gardien'!$F$5:$F$127)</f>
        <v>0</v>
      </c>
      <c r="L32" s="30">
        <f>SUMIF('[1]Pool-gardien'!$D$5:$D$127,C32,'[1]Pool-gardien'!$G$5:$G$127)</f>
        <v>0</v>
      </c>
      <c r="M32" s="30">
        <f>SUMIF('[1]Pool-gardien'!$D$5:$D$127,C32,'[1]Pool-gardien'!$H$5:$H$127)</f>
        <v>0</v>
      </c>
      <c r="N32" s="91">
        <f>SUMIF('[1]Pool-gardien'!$D$5:$D$127,C32,'[1]Pool-gardien'!$K$5:$K$127)</f>
        <v>0</v>
      </c>
      <c r="O32" s="30">
        <f>SUMIF('[1]Equipes-Pool'!$B$6:$B$35,C32,'[1]Equipes-Pool'!$D$6:$D$35)</f>
        <v>0</v>
      </c>
      <c r="P32" s="30">
        <f>SUMIF('[1]Equipes-Pool'!$B$6:$B$35,C32,'[1]Equipes-Pool'!$E$6:$E$35)</f>
        <v>0</v>
      </c>
      <c r="Q32" s="30">
        <f>SUMIF('[1]Equipes-Pool'!$B$6:$B$35,C32,'[1]Equipes-Pool'!$F$6:$F$35)</f>
        <v>0</v>
      </c>
      <c r="R32" s="91">
        <f>SUMIF('[1]Equipes-Pool'!$B$6:$B$35,C32,'[1]Equipes-Pool'!$G$6:$G$35)</f>
        <v>0</v>
      </c>
    </row>
    <row r="33" spans="1:18" ht="15.75">
      <c r="A33" s="12" t="s">
        <v>12</v>
      </c>
      <c r="B33" s="14" t="s">
        <v>84</v>
      </c>
      <c r="C33" s="55" t="s">
        <v>85</v>
      </c>
      <c r="D33" s="62" t="s">
        <v>373</v>
      </c>
      <c r="E33" s="10" t="s">
        <v>8</v>
      </c>
      <c r="F33" s="84">
        <f>SUMIF('[1]POOL-joueus'!$D$5:$D$808,C33,'[1]POOL-joueus'!$E$5:$E$808)</f>
        <v>66</v>
      </c>
      <c r="G33" s="84">
        <f>SUMIF('[1]POOL-joueus'!$D$5:$D$808,C33,'[1]POOL-joueus'!$F$5:F$808)</f>
        <v>25</v>
      </c>
      <c r="H33" s="84">
        <f>SUMIF('[1]POOL-joueus'!$D$5:$D$808,C33,'[1]POOL-joueus'!$G$5:G$808)</f>
        <v>28</v>
      </c>
      <c r="I33" s="90">
        <f t="shared" si="2"/>
        <v>53</v>
      </c>
      <c r="J33" s="85">
        <f t="shared" si="3"/>
        <v>0.803030303030303</v>
      </c>
      <c r="K33" s="30">
        <f>SUMIF('[1]Pool-gardien'!$D$5:$D$127,C33,'[1]Pool-gardien'!$F$5:$F$127)</f>
        <v>0</v>
      </c>
      <c r="L33" s="30">
        <f>SUMIF('[1]Pool-gardien'!$D$5:$D$127,C33,'[1]Pool-gardien'!$G$5:$G$127)</f>
        <v>0</v>
      </c>
      <c r="M33" s="30">
        <f>SUMIF('[1]Pool-gardien'!$D$5:$D$127,C33,'[1]Pool-gardien'!$H$5:$H$127)</f>
        <v>0</v>
      </c>
      <c r="N33" s="91">
        <f>SUMIF('[1]Pool-gardien'!$D$5:$D$127,C33,'[1]Pool-gardien'!$K$5:$K$127)</f>
        <v>0</v>
      </c>
      <c r="O33" s="30">
        <f>SUMIF('[1]Equipes-Pool'!$B$6:$B$35,C33,'[1]Equipes-Pool'!$D$6:$D$35)</f>
        <v>0</v>
      </c>
      <c r="P33" s="30">
        <f>SUMIF('[1]Equipes-Pool'!$B$6:$B$35,C33,'[1]Equipes-Pool'!$E$6:$E$35)</f>
        <v>0</v>
      </c>
      <c r="Q33" s="30">
        <f>SUMIF('[1]Equipes-Pool'!$B$6:$B$35,C33,'[1]Equipes-Pool'!$F$6:$F$35)</f>
        <v>0</v>
      </c>
      <c r="R33" s="91">
        <f>SUMIF('[1]Equipes-Pool'!$B$6:$B$35,C33,'[1]Equipes-Pool'!$G$6:$G$35)</f>
        <v>0</v>
      </c>
    </row>
    <row r="34" spans="1:18" ht="15.75">
      <c r="A34" s="20" t="s">
        <v>40</v>
      </c>
      <c r="B34" s="21" t="s">
        <v>13</v>
      </c>
      <c r="C34" s="55" t="s">
        <v>88</v>
      </c>
      <c r="D34" s="62" t="s">
        <v>373</v>
      </c>
      <c r="E34" s="10" t="s">
        <v>49</v>
      </c>
      <c r="F34" s="84">
        <f>SUMIF('[1]POOL-joueus'!$D$5:$D$808,C34,'[1]POOL-joueus'!$E$5:$E$808)</f>
        <v>47</v>
      </c>
      <c r="G34" s="84">
        <f>SUMIF('[1]POOL-joueus'!$D$5:$D$808,C34,'[1]POOL-joueus'!$F$5:F$808)</f>
        <v>12</v>
      </c>
      <c r="H34" s="84">
        <f>SUMIF('[1]POOL-joueus'!$D$5:$D$808,C34,'[1]POOL-joueus'!$G$5:G$808)</f>
        <v>11</v>
      </c>
      <c r="I34" s="90">
        <f t="shared" si="2"/>
        <v>23</v>
      </c>
      <c r="J34" s="85">
        <f t="shared" si="3"/>
        <v>0.48936170212765956</v>
      </c>
      <c r="K34" s="30">
        <f>SUMIF('[1]Pool-gardien'!$D$5:$D$127,C34,'[1]Pool-gardien'!$F$5:$F$127)</f>
        <v>0</v>
      </c>
      <c r="L34" s="30">
        <f>SUMIF('[1]Pool-gardien'!$D$5:$D$127,C34,'[1]Pool-gardien'!$G$5:$G$127)</f>
        <v>0</v>
      </c>
      <c r="M34" s="30">
        <f>SUMIF('[1]Pool-gardien'!$D$5:$D$127,C34,'[1]Pool-gardien'!$H$5:$H$127)</f>
        <v>0</v>
      </c>
      <c r="N34" s="91">
        <f>SUMIF('[1]Pool-gardien'!$D$5:$D$127,C34,'[1]Pool-gardien'!$K$5:$K$127)</f>
        <v>0</v>
      </c>
      <c r="O34" s="30">
        <f>SUMIF('[1]Equipes-Pool'!$B$6:$B$35,C34,'[1]Equipes-Pool'!$D$6:$D$35)</f>
        <v>0</v>
      </c>
      <c r="P34" s="30">
        <f>SUMIF('[1]Equipes-Pool'!$B$6:$B$35,C34,'[1]Equipes-Pool'!$E$6:$E$35)</f>
        <v>0</v>
      </c>
      <c r="Q34" s="30">
        <f>SUMIF('[1]Equipes-Pool'!$B$6:$B$35,C34,'[1]Equipes-Pool'!$F$6:$F$35)</f>
        <v>0</v>
      </c>
      <c r="R34" s="91">
        <f>SUMIF('[1]Equipes-Pool'!$B$6:$B$35,C34,'[1]Equipes-Pool'!$G$6:$G$35)</f>
        <v>0</v>
      </c>
    </row>
    <row r="35" spans="1:18" ht="15.75">
      <c r="A35" s="12" t="s">
        <v>12</v>
      </c>
      <c r="B35" s="14" t="s">
        <v>91</v>
      </c>
      <c r="C35" s="55" t="s">
        <v>92</v>
      </c>
      <c r="D35" s="62" t="s">
        <v>373</v>
      </c>
      <c r="E35" s="10" t="s">
        <v>27</v>
      </c>
      <c r="F35" s="84">
        <f>SUMIF('[1]POOL-joueus'!$D$5:$D$808,C35,'[1]POOL-joueus'!$E$5:$E$808)</f>
        <v>51</v>
      </c>
      <c r="G35" s="84">
        <f>SUMIF('[1]POOL-joueus'!$D$5:$D$808,C35,'[1]POOL-joueus'!$F$5:F$808)</f>
        <v>17</v>
      </c>
      <c r="H35" s="84">
        <f>SUMIF('[1]POOL-joueus'!$D$5:$D$808,C35,'[1]POOL-joueus'!$G$5:G$808)</f>
        <v>23</v>
      </c>
      <c r="I35" s="90">
        <f t="shared" si="2"/>
        <v>40</v>
      </c>
      <c r="J35" s="85">
        <f t="shared" si="3"/>
        <v>0.7843137254901961</v>
      </c>
      <c r="K35" s="30">
        <f>SUMIF('[1]Pool-gardien'!$D$5:$D$127,C35,'[1]Pool-gardien'!$F$5:$F$127)</f>
        <v>0</v>
      </c>
      <c r="L35" s="30">
        <f>SUMIF('[1]Pool-gardien'!$D$5:$D$127,C35,'[1]Pool-gardien'!$G$5:$G$127)</f>
        <v>0</v>
      </c>
      <c r="M35" s="30">
        <f>SUMIF('[1]Pool-gardien'!$D$5:$D$127,C35,'[1]Pool-gardien'!$H$5:$H$127)</f>
        <v>0</v>
      </c>
      <c r="N35" s="91">
        <f>SUMIF('[1]Pool-gardien'!$D$5:$D$127,C35,'[1]Pool-gardien'!$K$5:$K$127)</f>
        <v>0</v>
      </c>
      <c r="O35" s="30">
        <f>SUMIF('[1]Equipes-Pool'!$B$6:$B$35,C35,'[1]Equipes-Pool'!$D$6:$D$35)</f>
        <v>0</v>
      </c>
      <c r="P35" s="30">
        <f>SUMIF('[1]Equipes-Pool'!$B$6:$B$35,C35,'[1]Equipes-Pool'!$E$6:$E$35)</f>
        <v>0</v>
      </c>
      <c r="Q35" s="30">
        <f>SUMIF('[1]Equipes-Pool'!$B$6:$B$35,C35,'[1]Equipes-Pool'!$F$6:$F$35)</f>
        <v>0</v>
      </c>
      <c r="R35" s="91">
        <f>SUMIF('[1]Equipes-Pool'!$B$6:$B$35,C35,'[1]Equipes-Pool'!$G$6:$G$35)</f>
        <v>0</v>
      </c>
    </row>
    <row r="36" spans="1:18" ht="15.75">
      <c r="A36" s="12" t="s">
        <v>12</v>
      </c>
      <c r="B36" s="14" t="s">
        <v>34</v>
      </c>
      <c r="C36" s="55" t="s">
        <v>95</v>
      </c>
      <c r="D36" s="62" t="s">
        <v>373</v>
      </c>
      <c r="E36" s="10" t="s">
        <v>60</v>
      </c>
      <c r="F36" s="84">
        <f>SUMIF('[1]POOL-joueus'!$D$5:$D$808,C36,'[1]POOL-joueus'!$E$5:$E$808)</f>
        <v>66</v>
      </c>
      <c r="G36" s="84">
        <f>SUMIF('[1]POOL-joueus'!$D$5:$D$808,C36,'[1]POOL-joueus'!$F$5:F$808)</f>
        <v>21</v>
      </c>
      <c r="H36" s="84">
        <f>SUMIF('[1]POOL-joueus'!$D$5:$D$808,C36,'[1]POOL-joueus'!$G$5:G$808)</f>
        <v>19</v>
      </c>
      <c r="I36" s="90">
        <f t="shared" si="2"/>
        <v>40</v>
      </c>
      <c r="J36" s="85">
        <f t="shared" si="3"/>
        <v>0.6060606060606061</v>
      </c>
      <c r="K36" s="30">
        <f>SUMIF('[1]Pool-gardien'!$D$5:$D$127,C36,'[1]Pool-gardien'!$F$5:$F$127)</f>
        <v>0</v>
      </c>
      <c r="L36" s="30">
        <f>SUMIF('[1]Pool-gardien'!$D$5:$D$127,C36,'[1]Pool-gardien'!$G$5:$G$127)</f>
        <v>0</v>
      </c>
      <c r="M36" s="30">
        <f>SUMIF('[1]Pool-gardien'!$D$5:$D$127,C36,'[1]Pool-gardien'!$H$5:$H$127)</f>
        <v>0</v>
      </c>
      <c r="N36" s="91">
        <f>SUMIF('[1]Pool-gardien'!$D$5:$D$127,C36,'[1]Pool-gardien'!$K$5:$K$127)</f>
        <v>0</v>
      </c>
      <c r="O36" s="30">
        <f>SUMIF('[1]Equipes-Pool'!$B$6:$B$35,C36,'[1]Equipes-Pool'!$D$6:$D$35)</f>
        <v>0</v>
      </c>
      <c r="P36" s="30">
        <f>SUMIF('[1]Equipes-Pool'!$B$6:$B$35,C36,'[1]Equipes-Pool'!$E$6:$E$35)</f>
        <v>0</v>
      </c>
      <c r="Q36" s="30">
        <f>SUMIF('[1]Equipes-Pool'!$B$6:$B$35,C36,'[1]Equipes-Pool'!$F$6:$F$35)</f>
        <v>0</v>
      </c>
      <c r="R36" s="91">
        <f>SUMIF('[1]Equipes-Pool'!$B$6:$B$35,C36,'[1]Equipes-Pool'!$G$6:$G$35)</f>
        <v>0</v>
      </c>
    </row>
    <row r="37" spans="1:18" ht="16.5" thickBot="1">
      <c r="A37" s="49" t="s">
        <v>12</v>
      </c>
      <c r="B37" s="50" t="s">
        <v>97</v>
      </c>
      <c r="C37" s="66" t="s">
        <v>98</v>
      </c>
      <c r="D37" s="64" t="s">
        <v>373</v>
      </c>
      <c r="E37" s="59" t="s">
        <v>65</v>
      </c>
      <c r="F37" s="96">
        <f>SUMIF('[1]POOL-joueus'!$D$5:$D$808,C37,'[1]POOL-joueus'!$E$5:$E$808)</f>
        <v>63</v>
      </c>
      <c r="G37" s="96">
        <f>SUMIF('[1]POOL-joueus'!$D$5:$D$808,C37,'[1]POOL-joueus'!$F$5:F$808)</f>
        <v>15</v>
      </c>
      <c r="H37" s="96">
        <f>SUMIF('[1]POOL-joueus'!$D$5:$D$808,C37,'[1]POOL-joueus'!$G$5:G$808)</f>
        <v>21</v>
      </c>
      <c r="I37" s="97">
        <f t="shared" si="2"/>
        <v>36</v>
      </c>
      <c r="J37" s="98">
        <f t="shared" si="3"/>
        <v>0.5714285714285714</v>
      </c>
      <c r="K37" s="99">
        <f>SUMIF('[1]Pool-gardien'!$D$5:$D$127,C37,'[1]Pool-gardien'!$F$5:$F$127)</f>
        <v>0</v>
      </c>
      <c r="L37" s="99">
        <f>SUMIF('[1]Pool-gardien'!$D$5:$D$127,C37,'[1]Pool-gardien'!$G$5:$G$127)</f>
        <v>0</v>
      </c>
      <c r="M37" s="99">
        <f>SUMIF('[1]Pool-gardien'!$D$5:$D$127,C37,'[1]Pool-gardien'!$H$5:$H$127)</f>
        <v>0</v>
      </c>
      <c r="N37" s="100">
        <f>SUMIF('[1]Pool-gardien'!$D$5:$D$127,C37,'[1]Pool-gardien'!$K$5:$K$127)</f>
        <v>0</v>
      </c>
      <c r="O37" s="99">
        <f>SUMIF('[1]Equipes-Pool'!$B$6:$B$35,C37,'[1]Equipes-Pool'!$D$6:$D$35)</f>
        <v>0</v>
      </c>
      <c r="P37" s="99">
        <f>SUMIF('[1]Equipes-Pool'!$B$6:$B$35,C37,'[1]Equipes-Pool'!$E$6:$E$35)</f>
        <v>0</v>
      </c>
      <c r="Q37" s="99">
        <f>SUMIF('[1]Equipes-Pool'!$B$6:$B$35,C37,'[1]Equipes-Pool'!$F$6:$F$35)</f>
        <v>0</v>
      </c>
      <c r="R37" s="100">
        <f>SUMIF('[1]Equipes-Pool'!$B$6:$B$35,C37,'[1]Equipes-Pool'!$G$6:$G$35)</f>
        <v>0</v>
      </c>
    </row>
    <row r="38" spans="1:18" ht="15.75">
      <c r="A38" s="17" t="s">
        <v>28</v>
      </c>
      <c r="B38" s="17" t="s">
        <v>36</v>
      </c>
      <c r="C38" s="69" t="s">
        <v>72</v>
      </c>
      <c r="D38" s="63" t="s">
        <v>374</v>
      </c>
      <c r="E38" s="65" t="s">
        <v>8</v>
      </c>
      <c r="F38" s="101">
        <f>SUMIF('[1]Pool-gardien'!$D$5:$D$127,C38,'[1]Pool-gardien'!$E$5:$E$127)</f>
        <v>47</v>
      </c>
      <c r="G38" s="101">
        <f>SUMIF('[1]Pool-gardien'!$D$5:$D$127,C38,'[1]Pool-gardien'!$I$5:$I$127)</f>
        <v>0</v>
      </c>
      <c r="H38" s="101">
        <f>SUMIF('[1]Pool-gardien'!$D$5:$D$127,C38,'[1]Pool-gardien'!$J$5:$J$127)</f>
        <v>1</v>
      </c>
      <c r="I38" s="102">
        <f t="shared" si="2"/>
        <v>1</v>
      </c>
      <c r="J38" s="87">
        <f t="shared" si="3"/>
        <v>0.02127659574468085</v>
      </c>
      <c r="K38" s="101">
        <f>SUMIF('[1]Pool-gardien'!$D$5:$D$127,C38,'[1]Pool-gardien'!$F$5:$F$127)</f>
        <v>21</v>
      </c>
      <c r="L38" s="101">
        <f>SUMIF('[1]Pool-gardien'!$D$5:$D$127,C38,'[1]Pool-gardien'!$G$5:$G$127)</f>
        <v>3</v>
      </c>
      <c r="M38" s="101">
        <f>SUMIF('[1]Pool-gardien'!$D$5:$D$127,C38,'[1]Pool-gardien'!$H$5:$H$127)</f>
        <v>6</v>
      </c>
      <c r="N38" s="102">
        <f>SUMIF('[1]Pool-gardien'!$D$5:$D$127,C38,'[1]Pool-gardien'!$K$5:$K$127)</f>
        <v>70</v>
      </c>
      <c r="O38" s="35">
        <f>SUMIF('[1]Equipes-Pool'!$B$6:$B$35,C38,'[1]Equipes-Pool'!$D$6:$D$35)</f>
        <v>0</v>
      </c>
      <c r="P38" s="35">
        <f>SUMIF('[1]Equipes-Pool'!$B$6:$B$35,C38,'[1]Equipes-Pool'!$E$6:$E$35)</f>
        <v>0</v>
      </c>
      <c r="Q38" s="35">
        <f>SUMIF('[1]Equipes-Pool'!$B$6:$B$35,C38,'[1]Equipes-Pool'!$F$6:$F$35)</f>
        <v>0</v>
      </c>
      <c r="R38" s="89">
        <f>SUMIF('[1]Equipes-Pool'!$B$6:$B$35,C38,'[1]Equipes-Pool'!$G$6:$G$35)</f>
        <v>0</v>
      </c>
    </row>
    <row r="39" spans="1:18" ht="15.75">
      <c r="A39" s="20" t="s">
        <v>33</v>
      </c>
      <c r="B39" s="21" t="s">
        <v>34</v>
      </c>
      <c r="C39" s="55" t="s">
        <v>74</v>
      </c>
      <c r="D39" s="62" t="s">
        <v>374</v>
      </c>
      <c r="E39" s="10" t="s">
        <v>16</v>
      </c>
      <c r="F39" s="84">
        <f>SUMIF('[1]POOL-joueus'!$D$5:$D$808,C39,'[1]POOL-joueus'!$E$5:$E$808)</f>
        <v>65</v>
      </c>
      <c r="G39" s="84">
        <f>SUMIF('[1]POOL-joueus'!$D$5:$D$808,C39,'[1]POOL-joueus'!$F$5:F$808)</f>
        <v>8</v>
      </c>
      <c r="H39" s="84">
        <f>SUMIF('[1]POOL-joueus'!$D$5:$D$808,C39,'[1]POOL-joueus'!$G$5:G$808)</f>
        <v>21</v>
      </c>
      <c r="I39" s="90">
        <f t="shared" si="2"/>
        <v>29</v>
      </c>
      <c r="J39" s="85">
        <f t="shared" si="3"/>
        <v>0.4461538461538462</v>
      </c>
      <c r="K39" s="30">
        <f>SUMIF('[1]Pool-gardien'!$D$5:$D$127,C39,'[1]Pool-gardien'!$F$5:$F$127)</f>
        <v>0</v>
      </c>
      <c r="L39" s="30">
        <f>SUMIF('[1]Pool-gardien'!$D$5:$D$127,C39,'[1]Pool-gardien'!$G$5:$G$127)</f>
        <v>0</v>
      </c>
      <c r="M39" s="30">
        <f>SUMIF('[1]Pool-gardien'!$D$5:$D$127,C39,'[1]Pool-gardien'!$H$5:$H$127)</f>
        <v>0</v>
      </c>
      <c r="N39" s="91">
        <f>SUMIF('[1]Pool-gardien'!$D$5:$D$127,C39,'[1]Pool-gardien'!$K$5:$K$127)</f>
        <v>0</v>
      </c>
      <c r="O39" s="30">
        <f>SUMIF('[1]Equipes-Pool'!$B$6:$B$35,C39,'[1]Equipes-Pool'!$D$6:$D$35)</f>
        <v>0</v>
      </c>
      <c r="P39" s="30">
        <f>SUMIF('[1]Equipes-Pool'!$B$6:$B$35,C39,'[1]Equipes-Pool'!$E$6:$E$35)</f>
        <v>0</v>
      </c>
      <c r="Q39" s="30">
        <f>SUMIF('[1]Equipes-Pool'!$B$6:$B$35,C39,'[1]Equipes-Pool'!$F$6:$F$35)</f>
        <v>0</v>
      </c>
      <c r="R39" s="91">
        <f>SUMIF('[1]Equipes-Pool'!$B$6:$B$35,C39,'[1]Equipes-Pool'!$G$6:$G$35)</f>
        <v>0</v>
      </c>
    </row>
    <row r="40" spans="1:18" ht="15.75">
      <c r="A40" s="12" t="s">
        <v>40</v>
      </c>
      <c r="B40" s="14" t="s">
        <v>34</v>
      </c>
      <c r="C40" s="55" t="s">
        <v>77</v>
      </c>
      <c r="D40" s="62" t="s">
        <v>374</v>
      </c>
      <c r="E40" s="10" t="s">
        <v>23</v>
      </c>
      <c r="F40" s="84">
        <f>SUMIF('[1]POOL-joueus'!$D$5:$D$808,C40,'[1]POOL-joueus'!$E$5:$E$808)</f>
        <v>66</v>
      </c>
      <c r="G40" s="84">
        <f>SUMIF('[1]POOL-joueus'!$D$5:$D$808,C40,'[1]POOL-joueus'!$F$5:F$808)</f>
        <v>17</v>
      </c>
      <c r="H40" s="84">
        <f>SUMIF('[1]POOL-joueus'!$D$5:$D$808,C40,'[1]POOL-joueus'!$G$5:G$808)</f>
        <v>27</v>
      </c>
      <c r="I40" s="90">
        <f t="shared" si="2"/>
        <v>44</v>
      </c>
      <c r="J40" s="85">
        <f t="shared" si="3"/>
        <v>0.6666666666666666</v>
      </c>
      <c r="K40" s="30">
        <f>SUMIF('[1]Pool-gardien'!$D$5:$D$127,C40,'[1]Pool-gardien'!$F$5:$F$127)</f>
        <v>0</v>
      </c>
      <c r="L40" s="30">
        <f>SUMIF('[1]Pool-gardien'!$D$5:$D$127,C40,'[1]Pool-gardien'!$G$5:$G$127)</f>
        <v>0</v>
      </c>
      <c r="M40" s="30">
        <f>SUMIF('[1]Pool-gardien'!$D$5:$D$127,C40,'[1]Pool-gardien'!$H$5:$H$127)</f>
        <v>0</v>
      </c>
      <c r="N40" s="91">
        <f>SUMIF('[1]Pool-gardien'!$D$5:$D$127,C40,'[1]Pool-gardien'!$K$5:$K$127)</f>
        <v>0</v>
      </c>
      <c r="O40" s="30">
        <f>SUMIF('[1]Equipes-Pool'!$B$6:$B$35,C40,'[1]Equipes-Pool'!$D$6:$D$35)</f>
        <v>0</v>
      </c>
      <c r="P40" s="30">
        <f>SUMIF('[1]Equipes-Pool'!$B$6:$B$35,C40,'[1]Equipes-Pool'!$E$6:$E$35)</f>
        <v>0</v>
      </c>
      <c r="Q40" s="30">
        <f>SUMIF('[1]Equipes-Pool'!$B$6:$B$35,C40,'[1]Equipes-Pool'!$F$6:$F$35)</f>
        <v>0</v>
      </c>
      <c r="R40" s="91">
        <f>SUMIF('[1]Equipes-Pool'!$B$6:$B$35,C40,'[1]Equipes-Pool'!$G$6:$G$35)</f>
        <v>0</v>
      </c>
    </row>
    <row r="41" spans="1:18" ht="15.75">
      <c r="A41" s="12" t="s">
        <v>12</v>
      </c>
      <c r="B41" s="14" t="s">
        <v>29</v>
      </c>
      <c r="C41" s="55" t="s">
        <v>80</v>
      </c>
      <c r="D41" s="62" t="s">
        <v>374</v>
      </c>
      <c r="E41" s="10" t="s">
        <v>32</v>
      </c>
      <c r="F41" s="84">
        <f>SUMIF('[1]POOL-joueus'!$D$5:$D$808,C41,'[1]POOL-joueus'!$E$5:$E$808)</f>
        <v>61</v>
      </c>
      <c r="G41" s="84">
        <f>SUMIF('[1]POOL-joueus'!$D$5:$D$808,C41,'[1]POOL-joueus'!$F$5:F$808)</f>
        <v>16</v>
      </c>
      <c r="H41" s="84">
        <f>SUMIF('[1]POOL-joueus'!$D$5:$D$808,C41,'[1]POOL-joueus'!$G$5:G$808)</f>
        <v>25</v>
      </c>
      <c r="I41" s="90">
        <f t="shared" si="2"/>
        <v>41</v>
      </c>
      <c r="J41" s="85">
        <f t="shared" si="3"/>
        <v>0.6721311475409836</v>
      </c>
      <c r="K41" s="30">
        <f>SUMIF('[1]Pool-gardien'!$D$5:$D$127,C41,'[1]Pool-gardien'!$F$5:$F$127)</f>
        <v>0</v>
      </c>
      <c r="L41" s="30">
        <f>SUMIF('[1]Pool-gardien'!$D$5:$D$127,C41,'[1]Pool-gardien'!$G$5:$G$127)</f>
        <v>0</v>
      </c>
      <c r="M41" s="30">
        <f>SUMIF('[1]Pool-gardien'!$D$5:$D$127,C41,'[1]Pool-gardien'!$H$5:$H$127)</f>
        <v>0</v>
      </c>
      <c r="N41" s="91">
        <f>SUMIF('[1]Pool-gardien'!$D$5:$D$127,C41,'[1]Pool-gardien'!$K$5:$K$127)</f>
        <v>0</v>
      </c>
      <c r="O41" s="30">
        <f>SUMIF('[1]Equipes-Pool'!$B$6:$B$35,C41,'[1]Equipes-Pool'!$D$6:$D$35)</f>
        <v>0</v>
      </c>
      <c r="P41" s="30">
        <f>SUMIF('[1]Equipes-Pool'!$B$6:$B$35,C41,'[1]Equipes-Pool'!$E$6:$E$35)</f>
        <v>0</v>
      </c>
      <c r="Q41" s="30">
        <f>SUMIF('[1]Equipes-Pool'!$B$6:$B$35,C41,'[1]Equipes-Pool'!$F$6:$F$35)</f>
        <v>0</v>
      </c>
      <c r="R41" s="91">
        <f>SUMIF('[1]Equipes-Pool'!$B$6:$B$35,C41,'[1]Equipes-Pool'!$G$6:$G$35)</f>
        <v>0</v>
      </c>
    </row>
    <row r="42" spans="1:18" ht="15.75">
      <c r="A42" s="12" t="s">
        <v>33</v>
      </c>
      <c r="B42" s="14" t="s">
        <v>29</v>
      </c>
      <c r="C42" s="55" t="s">
        <v>83</v>
      </c>
      <c r="D42" s="62" t="s">
        <v>374</v>
      </c>
      <c r="E42" s="10" t="s">
        <v>39</v>
      </c>
      <c r="F42" s="84">
        <f>SUMIF('[1]POOL-joueus'!$D$5:$D$808,C42,'[1]POOL-joueus'!$E$5:$E$808)</f>
        <v>65</v>
      </c>
      <c r="G42" s="84">
        <f>SUMIF('[1]POOL-joueus'!$D$5:$D$808,C42,'[1]POOL-joueus'!$F$5:F$808)</f>
        <v>17</v>
      </c>
      <c r="H42" s="84">
        <f>SUMIF('[1]POOL-joueus'!$D$5:$D$808,C42,'[1]POOL-joueus'!$G$5:G$808)</f>
        <v>23</v>
      </c>
      <c r="I42" s="90">
        <f t="shared" si="2"/>
        <v>40</v>
      </c>
      <c r="J42" s="85">
        <f t="shared" si="3"/>
        <v>0.6153846153846154</v>
      </c>
      <c r="K42" s="30">
        <f>SUMIF('[1]Pool-gardien'!$D$5:$D$127,C42,'[1]Pool-gardien'!$F$5:$F$127)</f>
        <v>0</v>
      </c>
      <c r="L42" s="30">
        <f>SUMIF('[1]Pool-gardien'!$D$5:$D$127,C42,'[1]Pool-gardien'!$G$5:$G$127)</f>
        <v>0</v>
      </c>
      <c r="M42" s="30">
        <f>SUMIF('[1]Pool-gardien'!$D$5:$D$127,C42,'[1]Pool-gardien'!$H$5:$H$127)</f>
        <v>0</v>
      </c>
      <c r="N42" s="91">
        <f>SUMIF('[1]Pool-gardien'!$D$5:$D$127,C42,'[1]Pool-gardien'!$K$5:$K$127)</f>
        <v>0</v>
      </c>
      <c r="O42" s="30">
        <f>SUMIF('[1]Equipes-Pool'!$B$6:$B$35,C42,'[1]Equipes-Pool'!$D$6:$D$35)</f>
        <v>0</v>
      </c>
      <c r="P42" s="30">
        <f>SUMIF('[1]Equipes-Pool'!$B$6:$B$35,C42,'[1]Equipes-Pool'!$E$6:$E$35)</f>
        <v>0</v>
      </c>
      <c r="Q42" s="30">
        <f>SUMIF('[1]Equipes-Pool'!$B$6:$B$35,C42,'[1]Equipes-Pool'!$F$6:$F$35)</f>
        <v>0</v>
      </c>
      <c r="R42" s="91">
        <f>SUMIF('[1]Equipes-Pool'!$B$6:$B$35,C42,'[1]Equipes-Pool'!$G$6:$G$35)</f>
        <v>0</v>
      </c>
    </row>
    <row r="43" spans="1:18" ht="15.75">
      <c r="A43" s="12" t="s">
        <v>12</v>
      </c>
      <c r="B43" s="14" t="s">
        <v>86</v>
      </c>
      <c r="C43" s="55" t="s">
        <v>87</v>
      </c>
      <c r="D43" s="62" t="s">
        <v>374</v>
      </c>
      <c r="E43" s="10" t="s">
        <v>45</v>
      </c>
      <c r="F43" s="84">
        <f>SUMIF('[1]POOL-joueus'!$D$5:$D$808,C43,'[1]POOL-joueus'!$E$5:$E$808)</f>
        <v>50</v>
      </c>
      <c r="G43" s="84">
        <f>SUMIF('[1]POOL-joueus'!$D$5:$D$808,C43,'[1]POOL-joueus'!$F$5:F$808)</f>
        <v>20</v>
      </c>
      <c r="H43" s="84">
        <f>SUMIF('[1]POOL-joueus'!$D$5:$D$808,C43,'[1]POOL-joueus'!$G$5:G$808)</f>
        <v>21</v>
      </c>
      <c r="I43" s="90">
        <f t="shared" si="2"/>
        <v>41</v>
      </c>
      <c r="J43" s="85">
        <f t="shared" si="3"/>
        <v>0.82</v>
      </c>
      <c r="K43" s="30">
        <f>SUMIF('[1]Pool-gardien'!$D$5:$D$127,C43,'[1]Pool-gardien'!$F$5:$F$127)</f>
        <v>0</v>
      </c>
      <c r="L43" s="30">
        <f>SUMIF('[1]Pool-gardien'!$D$5:$D$127,C43,'[1]Pool-gardien'!$G$5:$G$127)</f>
        <v>0</v>
      </c>
      <c r="M43" s="30">
        <f>SUMIF('[1]Pool-gardien'!$D$5:$D$127,C43,'[1]Pool-gardien'!$H$5:$H$127)</f>
        <v>0</v>
      </c>
      <c r="N43" s="91">
        <f>SUMIF('[1]Pool-gardien'!$D$5:$D$127,C43,'[1]Pool-gardien'!$K$5:$K$127)</f>
        <v>0</v>
      </c>
      <c r="O43" s="30">
        <f>SUMIF('[1]Equipes-Pool'!$B$6:$B$35,C43,'[1]Equipes-Pool'!$D$6:$D$35)</f>
        <v>0</v>
      </c>
      <c r="P43" s="30">
        <f>SUMIF('[1]Equipes-Pool'!$B$6:$B$35,C43,'[1]Equipes-Pool'!$E$6:$E$35)</f>
        <v>0</v>
      </c>
      <c r="Q43" s="30">
        <f>SUMIF('[1]Equipes-Pool'!$B$6:$B$35,C43,'[1]Equipes-Pool'!$F$6:$F$35)</f>
        <v>0</v>
      </c>
      <c r="R43" s="91">
        <f>SUMIF('[1]Equipes-Pool'!$B$6:$B$35,C43,'[1]Equipes-Pool'!$G$6:$G$35)</f>
        <v>0</v>
      </c>
    </row>
    <row r="44" spans="1:18" ht="15.75">
      <c r="A44" s="20" t="s">
        <v>12</v>
      </c>
      <c r="B44" s="21" t="s">
        <v>89</v>
      </c>
      <c r="C44" s="55" t="s">
        <v>90</v>
      </c>
      <c r="D44" s="62" t="s">
        <v>374</v>
      </c>
      <c r="E44" s="10" t="s">
        <v>52</v>
      </c>
      <c r="F44" s="84">
        <f>SUMIF('[1]POOL-joueus'!$D$5:$D$808,C44,'[1]POOL-joueus'!$E$5:$E$808)</f>
        <v>55</v>
      </c>
      <c r="G44" s="84">
        <f>SUMIF('[1]POOL-joueus'!$D$5:$D$808,C44,'[1]POOL-joueus'!$F$5:F$808)</f>
        <v>26</v>
      </c>
      <c r="H44" s="84">
        <f>SUMIF('[1]POOL-joueus'!$D$5:$D$808,C44,'[1]POOL-joueus'!$G$5:G$808)</f>
        <v>15</v>
      </c>
      <c r="I44" s="90">
        <f t="shared" si="2"/>
        <v>41</v>
      </c>
      <c r="J44" s="85">
        <f t="shared" si="3"/>
        <v>0.7454545454545455</v>
      </c>
      <c r="K44" s="30">
        <f>SUMIF('[1]Pool-gardien'!$D$5:$D$127,C44,'[1]Pool-gardien'!$F$5:$F$127)</f>
        <v>0</v>
      </c>
      <c r="L44" s="30">
        <f>SUMIF('[1]Pool-gardien'!$D$5:$D$127,C44,'[1]Pool-gardien'!$G$5:$G$127)</f>
        <v>0</v>
      </c>
      <c r="M44" s="30">
        <f>SUMIF('[1]Pool-gardien'!$D$5:$D$127,C44,'[1]Pool-gardien'!$H$5:$H$127)</f>
        <v>0</v>
      </c>
      <c r="N44" s="91">
        <f>SUMIF('[1]Pool-gardien'!$D$5:$D$127,C44,'[1]Pool-gardien'!$K$5:$K$127)</f>
        <v>0</v>
      </c>
      <c r="O44" s="30">
        <f>SUMIF('[1]Equipes-Pool'!$B$6:$B$35,C44,'[1]Equipes-Pool'!$D$6:$D$35)</f>
        <v>0</v>
      </c>
      <c r="P44" s="30">
        <f>SUMIF('[1]Equipes-Pool'!$B$6:$B$35,C44,'[1]Equipes-Pool'!$E$6:$E$35)</f>
        <v>0</v>
      </c>
      <c r="Q44" s="30">
        <f>SUMIF('[1]Equipes-Pool'!$B$6:$B$35,C44,'[1]Equipes-Pool'!$F$6:$F$35)</f>
        <v>0</v>
      </c>
      <c r="R44" s="91">
        <f>SUMIF('[1]Equipes-Pool'!$B$6:$B$35,C44,'[1]Equipes-Pool'!$G$6:$G$35)</f>
        <v>0</v>
      </c>
    </row>
    <row r="45" spans="1:18" ht="15.75">
      <c r="A45" s="18" t="s">
        <v>93</v>
      </c>
      <c r="B45" s="18" t="s">
        <v>29</v>
      </c>
      <c r="C45" s="68" t="s">
        <v>94</v>
      </c>
      <c r="D45" s="62" t="s">
        <v>374</v>
      </c>
      <c r="E45" s="10" t="s">
        <v>27</v>
      </c>
      <c r="F45" s="30">
        <f>SUMIF('[1]Pool-gardien'!$D$5:$D$127,C45,'[1]Pool-gardien'!$E$5:$E$127)</f>
        <v>38</v>
      </c>
      <c r="G45" s="30">
        <f>SUMIF('[1]Pool-gardien'!$D$5:$D$127,C45,'[1]Pool-gardien'!$I$5:$I$127)</f>
        <v>0</v>
      </c>
      <c r="H45" s="30">
        <f>SUMIF('[1]Pool-gardien'!$D$5:$D$127,C45,'[1]Pool-gardien'!$J$5:$J$127)</f>
        <v>1</v>
      </c>
      <c r="I45" s="91">
        <f t="shared" si="2"/>
        <v>1</v>
      </c>
      <c r="J45" s="81">
        <f t="shared" si="3"/>
        <v>0.02631578947368421</v>
      </c>
      <c r="K45" s="30">
        <f>SUMIF('[1]Pool-gardien'!$D$5:$D$127,C45,'[1]Pool-gardien'!$F$5:$F$127)</f>
        <v>22</v>
      </c>
      <c r="L45" s="30">
        <f>SUMIF('[1]Pool-gardien'!$D$5:$D$127,C45,'[1]Pool-gardien'!$G$5:$G$127)</f>
        <v>1</v>
      </c>
      <c r="M45" s="30">
        <f>SUMIF('[1]Pool-gardien'!$D$5:$D$127,C45,'[1]Pool-gardien'!$H$5:$H$127)</f>
        <v>6</v>
      </c>
      <c r="N45" s="91">
        <f>SUMIF('[1]Pool-gardien'!$D$5:$D$127,C45,'[1]Pool-gardien'!$K$5:$K$127)</f>
        <v>70</v>
      </c>
      <c r="O45" s="30">
        <f>SUMIF('[1]Equipes-Pool'!$B$6:$B$35,C45,'[1]Equipes-Pool'!$D$6:$D$35)</f>
        <v>0</v>
      </c>
      <c r="P45" s="30">
        <f>SUMIF('[1]Equipes-Pool'!$B$6:$B$35,C45,'[1]Equipes-Pool'!$E$6:$E$35)</f>
        <v>0</v>
      </c>
      <c r="Q45" s="30">
        <f>SUMIF('[1]Equipes-Pool'!$B$6:$B$35,C45,'[1]Equipes-Pool'!$F$6:$F$35)</f>
        <v>0</v>
      </c>
      <c r="R45" s="91">
        <f>SUMIF('[1]Equipes-Pool'!$B$6:$B$35,C45,'[1]Equipes-Pool'!$G$6:$G$35)</f>
        <v>0</v>
      </c>
    </row>
    <row r="46" spans="1:18" ht="15.75">
      <c r="A46" s="12" t="s">
        <v>12</v>
      </c>
      <c r="B46" s="14" t="s">
        <v>10</v>
      </c>
      <c r="C46" s="55" t="s">
        <v>96</v>
      </c>
      <c r="D46" s="62" t="s">
        <v>374</v>
      </c>
      <c r="E46" s="10" t="s">
        <v>62</v>
      </c>
      <c r="F46" s="84">
        <f>SUMIF('[1]POOL-joueus'!$D$5:$D$808,C46,'[1]POOL-joueus'!$E$5:$E$808)</f>
        <v>18</v>
      </c>
      <c r="G46" s="84">
        <f>SUMIF('[1]POOL-joueus'!$D$5:$D$808,C46,'[1]POOL-joueus'!$F$5:F$808)</f>
        <v>3</v>
      </c>
      <c r="H46" s="84">
        <f>SUMIF('[1]POOL-joueus'!$D$5:$D$808,C46,'[1]POOL-joueus'!$G$5:G$808)</f>
        <v>3</v>
      </c>
      <c r="I46" s="90">
        <f t="shared" si="2"/>
        <v>6</v>
      </c>
      <c r="J46" s="85">
        <f t="shared" si="3"/>
        <v>0.3333333333333333</v>
      </c>
      <c r="K46" s="30">
        <f>SUMIF('[1]Pool-gardien'!$D$5:$D$127,C46,'[1]Pool-gardien'!$F$5:$F$127)</f>
        <v>0</v>
      </c>
      <c r="L46" s="30">
        <f>SUMIF('[1]Pool-gardien'!$D$5:$D$127,C46,'[1]Pool-gardien'!$G$5:$G$127)</f>
        <v>0</v>
      </c>
      <c r="M46" s="30">
        <f>SUMIF('[1]Pool-gardien'!$D$5:$D$127,C46,'[1]Pool-gardien'!$H$5:$H$127)</f>
        <v>0</v>
      </c>
      <c r="N46" s="91">
        <f>SUMIF('[1]Pool-gardien'!$D$5:$D$127,C46,'[1]Pool-gardien'!$K$5:$K$127)</f>
        <v>0</v>
      </c>
      <c r="O46" s="30">
        <f>SUMIF('[1]Equipes-Pool'!$B$6:$B$35,C46,'[1]Equipes-Pool'!$D$6:$D$35)</f>
        <v>0</v>
      </c>
      <c r="P46" s="30">
        <f>SUMIF('[1]Equipes-Pool'!$B$6:$B$35,C46,'[1]Equipes-Pool'!$E$6:$E$35)</f>
        <v>0</v>
      </c>
      <c r="Q46" s="30">
        <f>SUMIF('[1]Equipes-Pool'!$B$6:$B$35,C46,'[1]Equipes-Pool'!$F$6:$F$35)</f>
        <v>0</v>
      </c>
      <c r="R46" s="91">
        <f>SUMIF('[1]Equipes-Pool'!$B$6:$B$35,C46,'[1]Equipes-Pool'!$G$6:$G$35)</f>
        <v>0</v>
      </c>
    </row>
    <row r="47" spans="1:18" ht="16.5" thickBot="1">
      <c r="A47" s="49" t="s">
        <v>40</v>
      </c>
      <c r="B47" s="50" t="s">
        <v>55</v>
      </c>
      <c r="C47" s="66" t="s">
        <v>99</v>
      </c>
      <c r="D47" s="64" t="s">
        <v>374</v>
      </c>
      <c r="E47" s="59" t="s">
        <v>65</v>
      </c>
      <c r="F47" s="96">
        <f>SUMIF('[1]POOL-joueus'!$D$5:$D$808,C47,'[1]POOL-joueus'!$E$5:$E$808)</f>
        <v>66</v>
      </c>
      <c r="G47" s="96">
        <f>SUMIF('[1]POOL-joueus'!$D$5:$D$808,C47,'[1]POOL-joueus'!$F$5:F$808)</f>
        <v>23</v>
      </c>
      <c r="H47" s="96">
        <f>SUMIF('[1]POOL-joueus'!$D$5:$D$808,C47,'[1]POOL-joueus'!$G$5:G$808)</f>
        <v>15</v>
      </c>
      <c r="I47" s="97">
        <f t="shared" si="2"/>
        <v>38</v>
      </c>
      <c r="J47" s="98">
        <f t="shared" si="3"/>
        <v>0.5757575757575758</v>
      </c>
      <c r="K47" s="99">
        <f>SUMIF('[1]Pool-gardien'!$D$5:$D$127,C47,'[1]Pool-gardien'!$F$5:$F$127)</f>
        <v>0</v>
      </c>
      <c r="L47" s="99">
        <f>SUMIF('[1]Pool-gardien'!$D$5:$D$127,C47,'[1]Pool-gardien'!$G$5:$G$127)</f>
        <v>0</v>
      </c>
      <c r="M47" s="99">
        <f>SUMIF('[1]Pool-gardien'!$D$5:$D$127,C47,'[1]Pool-gardien'!$H$5:$H$127)</f>
        <v>0</v>
      </c>
      <c r="N47" s="100">
        <f>SUMIF('[1]Pool-gardien'!$D$5:$D$127,C47,'[1]Pool-gardien'!$K$5:$K$127)</f>
        <v>0</v>
      </c>
      <c r="O47" s="99">
        <f>SUMIF('[1]Equipes-Pool'!$B$6:$B$35,C47,'[1]Equipes-Pool'!$D$6:$D$35)</f>
        <v>0</v>
      </c>
      <c r="P47" s="99">
        <f>SUMIF('[1]Equipes-Pool'!$B$6:$B$35,C47,'[1]Equipes-Pool'!$E$6:$E$35)</f>
        <v>0</v>
      </c>
      <c r="Q47" s="99">
        <f>SUMIF('[1]Equipes-Pool'!$B$6:$B$35,C47,'[1]Equipes-Pool'!$F$6:$F$35)</f>
        <v>0</v>
      </c>
      <c r="R47" s="100">
        <f>SUMIF('[1]Equipes-Pool'!$B$6:$B$35,C47,'[1]Equipes-Pool'!$G$6:$G$35)</f>
        <v>0</v>
      </c>
    </row>
    <row r="48" spans="1:18" ht="15.75">
      <c r="A48" s="20" t="s">
        <v>33</v>
      </c>
      <c r="B48" s="21" t="s">
        <v>10</v>
      </c>
      <c r="C48" s="67" t="s">
        <v>102</v>
      </c>
      <c r="D48" s="63" t="s">
        <v>375</v>
      </c>
      <c r="E48" s="65" t="s">
        <v>32</v>
      </c>
      <c r="F48" s="40">
        <f>SUMIF('[1]POOL-joueus'!$D$5:$D$808,C48,'[1]POOL-joueus'!$E$5:$E$808)</f>
        <v>52</v>
      </c>
      <c r="G48" s="40">
        <f>SUMIF('[1]POOL-joueus'!$D$5:$D$808,C48,'[1]POOL-joueus'!$F$5:F$808)</f>
        <v>2</v>
      </c>
      <c r="H48" s="40">
        <f>SUMIF('[1]POOL-joueus'!$D$5:$D$808,C48,'[1]POOL-joueus'!$G$5:G$808)</f>
        <v>14</v>
      </c>
      <c r="I48" s="94">
        <f t="shared" si="2"/>
        <v>16</v>
      </c>
      <c r="J48" s="95">
        <f t="shared" si="3"/>
        <v>0.3076923076923077</v>
      </c>
      <c r="K48" s="35">
        <f>SUMIF('[1]Pool-gardien'!$D$5:$D$127,C48,'[1]Pool-gardien'!$F$5:$F$127)</f>
        <v>0</v>
      </c>
      <c r="L48" s="35">
        <f>SUMIF('[1]Pool-gardien'!$D$5:$D$127,C48,'[1]Pool-gardien'!$G$5:$G$127)</f>
        <v>0</v>
      </c>
      <c r="M48" s="35">
        <f>SUMIF('[1]Pool-gardien'!$D$5:$D$127,C48,'[1]Pool-gardien'!$H$5:$H$127)</f>
        <v>0</v>
      </c>
      <c r="N48" s="89">
        <f>SUMIF('[1]Pool-gardien'!$D$5:$D$127,C48,'[1]Pool-gardien'!$K$5:$K$127)</f>
        <v>0</v>
      </c>
      <c r="O48" s="35">
        <f>SUMIF('[1]Equipes-Pool'!$B$6:$B$35,C48,'[1]Equipes-Pool'!$D$6:$D$35)</f>
        <v>0</v>
      </c>
      <c r="P48" s="35">
        <f>SUMIF('[1]Equipes-Pool'!$B$6:$B$35,C48,'[1]Equipes-Pool'!$E$6:$E$35)</f>
        <v>0</v>
      </c>
      <c r="Q48" s="35">
        <f>SUMIF('[1]Equipes-Pool'!$B$6:$B$35,C48,'[1]Equipes-Pool'!$F$6:$F$35)</f>
        <v>0</v>
      </c>
      <c r="R48" s="89">
        <f>SUMIF('[1]Equipes-Pool'!$B$6:$B$35,C48,'[1]Equipes-Pool'!$G$6:$G$35)</f>
        <v>0</v>
      </c>
    </row>
    <row r="49" spans="1:18" ht="15.75">
      <c r="A49" s="12" t="s">
        <v>33</v>
      </c>
      <c r="B49" s="14" t="s">
        <v>105</v>
      </c>
      <c r="C49" s="55" t="s">
        <v>106</v>
      </c>
      <c r="D49" s="62" t="s">
        <v>375</v>
      </c>
      <c r="E49" s="10" t="s">
        <v>16</v>
      </c>
      <c r="F49" s="84">
        <f>SUMIF('[1]POOL-joueus'!$D$5:$D$808,C49,'[1]POOL-joueus'!$E$5:$E$808)</f>
        <v>57</v>
      </c>
      <c r="G49" s="84">
        <f>SUMIF('[1]POOL-joueus'!$D$5:$D$808,C49,'[1]POOL-joueus'!$F$5:F$808)</f>
        <v>6</v>
      </c>
      <c r="H49" s="84">
        <f>SUMIF('[1]POOL-joueus'!$D$5:$D$808,C49,'[1]POOL-joueus'!$G$5:G$808)</f>
        <v>22</v>
      </c>
      <c r="I49" s="90">
        <f t="shared" si="2"/>
        <v>28</v>
      </c>
      <c r="J49" s="85">
        <f t="shared" si="3"/>
        <v>0.49122807017543857</v>
      </c>
      <c r="K49" s="30">
        <f>SUMIF('[1]Pool-gardien'!$D$5:$D$127,C49,'[1]Pool-gardien'!$F$5:$F$127)</f>
        <v>0</v>
      </c>
      <c r="L49" s="30">
        <f>SUMIF('[1]Pool-gardien'!$D$5:$D$127,C49,'[1]Pool-gardien'!$G$5:$G$127)</f>
        <v>0</v>
      </c>
      <c r="M49" s="30">
        <f>SUMIF('[1]Pool-gardien'!$D$5:$D$127,C49,'[1]Pool-gardien'!$H$5:$H$127)</f>
        <v>0</v>
      </c>
      <c r="N49" s="91">
        <f>SUMIF('[1]Pool-gardien'!$D$5:$D$127,C49,'[1]Pool-gardien'!$K$5:$K$127)</f>
        <v>0</v>
      </c>
      <c r="O49" s="30">
        <f>SUMIF('[1]Equipes-Pool'!$B$6:$B$35,C49,'[1]Equipes-Pool'!$D$6:$D$35)</f>
        <v>0</v>
      </c>
      <c r="P49" s="30">
        <f>SUMIF('[1]Equipes-Pool'!$B$6:$B$35,C49,'[1]Equipes-Pool'!$E$6:$E$35)</f>
        <v>0</v>
      </c>
      <c r="Q49" s="30">
        <f>SUMIF('[1]Equipes-Pool'!$B$6:$B$35,C49,'[1]Equipes-Pool'!$F$6:$F$35)</f>
        <v>0</v>
      </c>
      <c r="R49" s="91">
        <f>SUMIF('[1]Equipes-Pool'!$B$6:$B$35,C49,'[1]Equipes-Pool'!$G$6:$G$35)</f>
        <v>0</v>
      </c>
    </row>
    <row r="50" spans="1:18" ht="15.75">
      <c r="A50" s="17" t="s">
        <v>28</v>
      </c>
      <c r="B50" s="18" t="s">
        <v>78</v>
      </c>
      <c r="C50" s="70" t="s">
        <v>108</v>
      </c>
      <c r="D50" s="62" t="s">
        <v>375</v>
      </c>
      <c r="E50" s="10" t="s">
        <v>23</v>
      </c>
      <c r="F50" s="82">
        <f>SUMIF('[1]Pool-gardien'!$D$5:$D$127,C50,'[1]Pool-gardien'!$E$5:$E$127)</f>
        <v>36</v>
      </c>
      <c r="G50" s="82">
        <f>SUMIF('[1]Pool-gardien'!$D$5:$D$127,C50,'[1]Pool-gardien'!$I$5:$I$127)</f>
        <v>0</v>
      </c>
      <c r="H50" s="82">
        <f>SUMIF('[1]Pool-gardien'!$D$5:$D$127,C50,'[1]Pool-gardien'!$J$5:$J$127)</f>
        <v>0</v>
      </c>
      <c r="I50" s="92">
        <f t="shared" si="2"/>
        <v>0</v>
      </c>
      <c r="J50" s="81">
        <f t="shared" si="3"/>
        <v>0</v>
      </c>
      <c r="K50" s="82">
        <f>SUMIF('[1]Pool-gardien'!$D$5:$D$127,C50,'[1]Pool-gardien'!$F$5:$F$127)</f>
        <v>18</v>
      </c>
      <c r="L50" s="82">
        <f>SUMIF('[1]Pool-gardien'!$D$5:$D$127,C50,'[1]Pool-gardien'!$G$5:$G$127)</f>
        <v>3</v>
      </c>
      <c r="M50" s="82">
        <f>SUMIF('[1]Pool-gardien'!$D$5:$D$127,C50,'[1]Pool-gardien'!$H$5:$H$127)</f>
        <v>3</v>
      </c>
      <c r="N50" s="92">
        <f>SUMIF('[1]Pool-gardien'!$D$5:$D$127,C50,'[1]Pool-gardien'!$K$5:$K$127)</f>
        <v>51</v>
      </c>
      <c r="O50" s="30">
        <f>SUMIF('[1]Equipes-Pool'!$B$6:$B$35,C50,'[1]Equipes-Pool'!$D$6:$D$35)</f>
        <v>0</v>
      </c>
      <c r="P50" s="30">
        <f>SUMIF('[1]Equipes-Pool'!$B$6:$B$35,C50,'[1]Equipes-Pool'!$E$6:$E$35)</f>
        <v>0</v>
      </c>
      <c r="Q50" s="30">
        <f>SUMIF('[1]Equipes-Pool'!$B$6:$B$35,C50,'[1]Equipes-Pool'!$F$6:$F$35)</f>
        <v>0</v>
      </c>
      <c r="R50" s="91">
        <f>SUMIF('[1]Equipes-Pool'!$B$6:$B$35,C50,'[1]Equipes-Pool'!$G$6:$G$35)</f>
        <v>0</v>
      </c>
    </row>
    <row r="51" spans="1:18" ht="15.75">
      <c r="A51" s="20" t="s">
        <v>12</v>
      </c>
      <c r="B51" s="21" t="s">
        <v>111</v>
      </c>
      <c r="C51" s="55" t="s">
        <v>112</v>
      </c>
      <c r="D51" s="62" t="s">
        <v>375</v>
      </c>
      <c r="E51" s="10" t="s">
        <v>32</v>
      </c>
      <c r="F51" s="84">
        <f>SUMIF('[1]POOL-joueus'!$D$5:$D$808,C51,'[1]POOL-joueus'!$E$5:$E$808)</f>
        <v>65</v>
      </c>
      <c r="G51" s="84">
        <f>SUMIF('[1]POOL-joueus'!$D$5:$D$808,C51,'[1]POOL-joueus'!$F$5:F$808)</f>
        <v>17</v>
      </c>
      <c r="H51" s="84">
        <f>SUMIF('[1]POOL-joueus'!$D$5:$D$808,C51,'[1]POOL-joueus'!$G$5:G$808)</f>
        <v>15</v>
      </c>
      <c r="I51" s="90">
        <f t="shared" si="2"/>
        <v>32</v>
      </c>
      <c r="J51" s="85">
        <f t="shared" si="3"/>
        <v>0.49230769230769234</v>
      </c>
      <c r="K51" s="30">
        <f>SUMIF('[1]Pool-gardien'!$D$5:$D$127,C51,'[1]Pool-gardien'!$F$5:$F$127)</f>
        <v>0</v>
      </c>
      <c r="L51" s="30">
        <f>SUMIF('[1]Pool-gardien'!$D$5:$D$127,C51,'[1]Pool-gardien'!$G$5:$G$127)</f>
        <v>0</v>
      </c>
      <c r="M51" s="30">
        <f>SUMIF('[1]Pool-gardien'!$D$5:$D$127,C51,'[1]Pool-gardien'!$H$5:$H$127)</f>
        <v>0</v>
      </c>
      <c r="N51" s="91">
        <f>SUMIF('[1]Pool-gardien'!$D$5:$D$127,C51,'[1]Pool-gardien'!$K$5:$K$127)</f>
        <v>0</v>
      </c>
      <c r="O51" s="30">
        <f>SUMIF('[1]Equipes-Pool'!$B$6:$B$35,C51,'[1]Equipes-Pool'!$D$6:$D$35)</f>
        <v>0</v>
      </c>
      <c r="P51" s="30">
        <f>SUMIF('[1]Equipes-Pool'!$B$6:$B$35,C51,'[1]Equipes-Pool'!$E$6:$E$35)</f>
        <v>0</v>
      </c>
      <c r="Q51" s="30">
        <f>SUMIF('[1]Equipes-Pool'!$B$6:$B$35,C51,'[1]Equipes-Pool'!$F$6:$F$35)</f>
        <v>0</v>
      </c>
      <c r="R51" s="91">
        <f>SUMIF('[1]Equipes-Pool'!$B$6:$B$35,C51,'[1]Equipes-Pool'!$G$6:$G$35)</f>
        <v>0</v>
      </c>
    </row>
    <row r="52" spans="1:18" ht="15.75">
      <c r="A52" s="20" t="s">
        <v>33</v>
      </c>
      <c r="B52" s="21" t="s">
        <v>89</v>
      </c>
      <c r="C52" s="55" t="s">
        <v>114</v>
      </c>
      <c r="D52" s="62" t="s">
        <v>375</v>
      </c>
      <c r="E52" s="10" t="s">
        <v>39</v>
      </c>
      <c r="F52" s="84">
        <f>SUMIF('[1]POOL-joueus'!$D$5:$D$808,C52,'[1]POOL-joueus'!$E$5:$E$808)</f>
        <v>64</v>
      </c>
      <c r="G52" s="84">
        <f>SUMIF('[1]POOL-joueus'!$D$5:$D$808,C52,'[1]POOL-joueus'!$F$5:F$808)</f>
        <v>3</v>
      </c>
      <c r="H52" s="84">
        <f>SUMIF('[1]POOL-joueus'!$D$5:$D$808,C52,'[1]POOL-joueus'!$G$5:G$808)</f>
        <v>36</v>
      </c>
      <c r="I52" s="90">
        <f t="shared" si="2"/>
        <v>39</v>
      </c>
      <c r="J52" s="85">
        <f t="shared" si="3"/>
        <v>0.609375</v>
      </c>
      <c r="K52" s="30">
        <f>SUMIF('[1]Pool-gardien'!$D$5:$D$127,C52,'[1]Pool-gardien'!$F$5:$F$127)</f>
        <v>0</v>
      </c>
      <c r="L52" s="30">
        <f>SUMIF('[1]Pool-gardien'!$D$5:$D$127,C52,'[1]Pool-gardien'!$G$5:$G$127)</f>
        <v>0</v>
      </c>
      <c r="M52" s="30">
        <f>SUMIF('[1]Pool-gardien'!$D$5:$D$127,C52,'[1]Pool-gardien'!$H$5:$H$127)</f>
        <v>0</v>
      </c>
      <c r="N52" s="91">
        <f>SUMIF('[1]Pool-gardien'!$D$5:$D$127,C52,'[1]Pool-gardien'!$K$5:$K$127)</f>
        <v>0</v>
      </c>
      <c r="O52" s="30">
        <f>SUMIF('[1]Equipes-Pool'!$B$6:$B$35,C52,'[1]Equipes-Pool'!$D$6:$D$35)</f>
        <v>0</v>
      </c>
      <c r="P52" s="30">
        <f>SUMIF('[1]Equipes-Pool'!$B$6:$B$35,C52,'[1]Equipes-Pool'!$E$6:$E$35)</f>
        <v>0</v>
      </c>
      <c r="Q52" s="30">
        <f>SUMIF('[1]Equipes-Pool'!$B$6:$B$35,C52,'[1]Equipes-Pool'!$F$6:$F$35)</f>
        <v>0</v>
      </c>
      <c r="R52" s="91">
        <f>SUMIF('[1]Equipes-Pool'!$B$6:$B$35,C52,'[1]Equipes-Pool'!$G$6:$G$35)</f>
        <v>0</v>
      </c>
    </row>
    <row r="53" spans="1:18" ht="15.75">
      <c r="A53" s="12" t="s">
        <v>33</v>
      </c>
      <c r="B53" s="14" t="s">
        <v>78</v>
      </c>
      <c r="C53" s="55" t="s">
        <v>116</v>
      </c>
      <c r="D53" s="62" t="s">
        <v>375</v>
      </c>
      <c r="E53" s="10" t="s">
        <v>45</v>
      </c>
      <c r="F53" s="84">
        <f>SUMIF('[1]POOL-joueus'!$D$5:$D$808,C53,'[1]POOL-joueus'!$E$5:$E$808)</f>
        <v>59</v>
      </c>
      <c r="G53" s="84">
        <f>SUMIF('[1]POOL-joueus'!$D$5:$D$808,C53,'[1]POOL-joueus'!$F$5:F$808)</f>
        <v>11</v>
      </c>
      <c r="H53" s="84">
        <f>SUMIF('[1]POOL-joueus'!$D$5:$D$808,C53,'[1]POOL-joueus'!$G$5:G$808)</f>
        <v>12</v>
      </c>
      <c r="I53" s="90">
        <f t="shared" si="2"/>
        <v>23</v>
      </c>
      <c r="J53" s="85">
        <f t="shared" si="3"/>
        <v>0.3898305084745763</v>
      </c>
      <c r="K53" s="30">
        <f>SUMIF('[1]Pool-gardien'!$D$5:$D$127,C53,'[1]Pool-gardien'!$F$5:$F$127)</f>
        <v>0</v>
      </c>
      <c r="L53" s="30">
        <f>SUMIF('[1]Pool-gardien'!$D$5:$D$127,C53,'[1]Pool-gardien'!$G$5:$G$127)</f>
        <v>0</v>
      </c>
      <c r="M53" s="30">
        <f>SUMIF('[1]Pool-gardien'!$D$5:$D$127,C53,'[1]Pool-gardien'!$H$5:$H$127)</f>
        <v>0</v>
      </c>
      <c r="N53" s="91">
        <f>SUMIF('[1]Pool-gardien'!$D$5:$D$127,C53,'[1]Pool-gardien'!$K$5:$K$127)</f>
        <v>0</v>
      </c>
      <c r="O53" s="30">
        <f>SUMIF('[1]Equipes-Pool'!$B$6:$B$35,C53,'[1]Equipes-Pool'!$D$6:$D$35)</f>
        <v>0</v>
      </c>
      <c r="P53" s="30">
        <f>SUMIF('[1]Equipes-Pool'!$B$6:$B$35,C53,'[1]Equipes-Pool'!$E$6:$E$35)</f>
        <v>0</v>
      </c>
      <c r="Q53" s="30">
        <f>SUMIF('[1]Equipes-Pool'!$B$6:$B$35,C53,'[1]Equipes-Pool'!$F$6:$F$35)</f>
        <v>0</v>
      </c>
      <c r="R53" s="91">
        <f>SUMIF('[1]Equipes-Pool'!$B$6:$B$35,C53,'[1]Equipes-Pool'!$G$6:$G$35)</f>
        <v>0</v>
      </c>
    </row>
    <row r="54" spans="1:18" ht="15.75">
      <c r="A54" s="12" t="s">
        <v>33</v>
      </c>
      <c r="B54" s="14" t="s">
        <v>118</v>
      </c>
      <c r="C54" s="55" t="s">
        <v>119</v>
      </c>
      <c r="D54" s="62" t="s">
        <v>375</v>
      </c>
      <c r="E54" s="10" t="s">
        <v>49</v>
      </c>
      <c r="F54" s="84">
        <f>SUMIF('[1]POOL-joueus'!$D$5:$D$808,C54,'[1]POOL-joueus'!$E$5:$E$808)</f>
        <v>39</v>
      </c>
      <c r="G54" s="84">
        <f>SUMIF('[1]POOL-joueus'!$D$5:$D$808,C54,'[1]POOL-joueus'!$F$5:F$808)</f>
        <v>2</v>
      </c>
      <c r="H54" s="84">
        <f>SUMIF('[1]POOL-joueus'!$D$5:$D$808,C54,'[1]POOL-joueus'!$G$5:G$808)</f>
        <v>5</v>
      </c>
      <c r="I54" s="90">
        <f t="shared" si="2"/>
        <v>7</v>
      </c>
      <c r="J54" s="85">
        <f t="shared" si="3"/>
        <v>0.1794871794871795</v>
      </c>
      <c r="K54" s="30">
        <f>SUMIF('[1]Pool-gardien'!$D$5:$D$127,C54,'[1]Pool-gardien'!$F$5:$F$127)</f>
        <v>0</v>
      </c>
      <c r="L54" s="30">
        <f>SUMIF('[1]Pool-gardien'!$D$5:$D$127,C54,'[1]Pool-gardien'!$G$5:$G$127)</f>
        <v>0</v>
      </c>
      <c r="M54" s="30">
        <f>SUMIF('[1]Pool-gardien'!$D$5:$D$127,C54,'[1]Pool-gardien'!$H$5:$H$127)</f>
        <v>0</v>
      </c>
      <c r="N54" s="91">
        <f>SUMIF('[1]Pool-gardien'!$D$5:$D$127,C54,'[1]Pool-gardien'!$K$5:$K$127)</f>
        <v>0</v>
      </c>
      <c r="O54" s="30">
        <f>SUMIF('[1]Equipes-Pool'!$B$6:$B$35,C54,'[1]Equipes-Pool'!$D$6:$D$35)</f>
        <v>0</v>
      </c>
      <c r="P54" s="30">
        <f>SUMIF('[1]Equipes-Pool'!$B$6:$B$35,C54,'[1]Equipes-Pool'!$E$6:$E$35)</f>
        <v>0</v>
      </c>
      <c r="Q54" s="30">
        <f>SUMIF('[1]Equipes-Pool'!$B$6:$B$35,C54,'[1]Equipes-Pool'!$F$6:$F$35)</f>
        <v>0</v>
      </c>
      <c r="R54" s="91">
        <f>SUMIF('[1]Equipes-Pool'!$B$6:$B$35,C54,'[1]Equipes-Pool'!$G$6:$G$35)</f>
        <v>0</v>
      </c>
    </row>
    <row r="55" spans="1:18" ht="15.75">
      <c r="A55" s="12" t="s">
        <v>40</v>
      </c>
      <c r="B55" s="14" t="s">
        <v>103</v>
      </c>
      <c r="C55" s="55" t="s">
        <v>122</v>
      </c>
      <c r="D55" s="62" t="s">
        <v>375</v>
      </c>
      <c r="E55" s="10" t="s">
        <v>27</v>
      </c>
      <c r="F55" s="84">
        <f>SUMIF('[1]POOL-joueus'!$D$5:$D$808,C55,'[1]POOL-joueus'!$E$5:$E$808)</f>
        <v>51</v>
      </c>
      <c r="G55" s="84">
        <f>SUMIF('[1]POOL-joueus'!$D$5:$D$808,C55,'[1]POOL-joueus'!$F$5:F$808)</f>
        <v>7</v>
      </c>
      <c r="H55" s="84">
        <f>SUMIF('[1]POOL-joueus'!$D$5:$D$808,C55,'[1]POOL-joueus'!$G$5:G$808)</f>
        <v>24</v>
      </c>
      <c r="I55" s="90">
        <f t="shared" si="2"/>
        <v>31</v>
      </c>
      <c r="J55" s="85">
        <f t="shared" si="3"/>
        <v>0.6078431372549019</v>
      </c>
      <c r="K55" s="30">
        <f>SUMIF('[1]Pool-gardien'!$D$5:$D$127,C55,'[1]Pool-gardien'!$F$5:$F$127)</f>
        <v>0</v>
      </c>
      <c r="L55" s="30">
        <f>SUMIF('[1]Pool-gardien'!$D$5:$D$127,C55,'[1]Pool-gardien'!$G$5:$G$127)</f>
        <v>0</v>
      </c>
      <c r="M55" s="30">
        <f>SUMIF('[1]Pool-gardien'!$D$5:$D$127,C55,'[1]Pool-gardien'!$H$5:$H$127)</f>
        <v>0</v>
      </c>
      <c r="N55" s="91">
        <f>SUMIF('[1]Pool-gardien'!$D$5:$D$127,C55,'[1]Pool-gardien'!$K$5:$K$127)</f>
        <v>0</v>
      </c>
      <c r="O55" s="30">
        <f>SUMIF('[1]Equipes-Pool'!$B$6:$B$35,C55,'[1]Equipes-Pool'!$D$6:$D$35)</f>
        <v>0</v>
      </c>
      <c r="P55" s="30">
        <f>SUMIF('[1]Equipes-Pool'!$B$6:$B$35,C55,'[1]Equipes-Pool'!$E$6:$E$35)</f>
        <v>0</v>
      </c>
      <c r="Q55" s="30">
        <f>SUMIF('[1]Equipes-Pool'!$B$6:$B$35,C55,'[1]Equipes-Pool'!$F$6:$F$35)</f>
        <v>0</v>
      </c>
      <c r="R55" s="91">
        <f>SUMIF('[1]Equipes-Pool'!$B$6:$B$35,C55,'[1]Equipes-Pool'!$G$6:$G$35)</f>
        <v>0</v>
      </c>
    </row>
    <row r="56" spans="1:18" ht="15.75">
      <c r="A56" s="20" t="s">
        <v>12</v>
      </c>
      <c r="B56" s="21" t="s">
        <v>125</v>
      </c>
      <c r="C56" s="55" t="s">
        <v>126</v>
      </c>
      <c r="D56" s="62" t="s">
        <v>375</v>
      </c>
      <c r="E56" s="10" t="s">
        <v>60</v>
      </c>
      <c r="F56" s="84">
        <f>SUMIF('[1]POOL-joueus'!$D$5:$D$808,C56,'[1]POOL-joueus'!$E$5:$E$808)</f>
        <v>64</v>
      </c>
      <c r="G56" s="84">
        <f>SUMIF('[1]POOL-joueus'!$D$5:$D$808,C56,'[1]POOL-joueus'!$F$5:F$808)</f>
        <v>14</v>
      </c>
      <c r="H56" s="84">
        <f>SUMIF('[1]POOL-joueus'!$D$5:$D$808,C56,'[1]POOL-joueus'!$G$5:G$808)</f>
        <v>20</v>
      </c>
      <c r="I56" s="90">
        <f t="shared" si="2"/>
        <v>34</v>
      </c>
      <c r="J56" s="85">
        <f t="shared" si="3"/>
        <v>0.53125</v>
      </c>
      <c r="K56" s="30">
        <f>SUMIF('[1]Pool-gardien'!$D$5:$D$127,C56,'[1]Pool-gardien'!$F$5:$F$127)</f>
        <v>0</v>
      </c>
      <c r="L56" s="30">
        <f>SUMIF('[1]Pool-gardien'!$D$5:$D$127,C56,'[1]Pool-gardien'!$G$5:$G$127)</f>
        <v>0</v>
      </c>
      <c r="M56" s="30">
        <f>SUMIF('[1]Pool-gardien'!$D$5:$D$127,C56,'[1]Pool-gardien'!$H$5:$H$127)</f>
        <v>0</v>
      </c>
      <c r="N56" s="91">
        <f>SUMIF('[1]Pool-gardien'!$D$5:$D$127,C56,'[1]Pool-gardien'!$K$5:$K$127)</f>
        <v>0</v>
      </c>
      <c r="O56" s="30">
        <f>SUMIF('[1]Equipes-Pool'!$B$6:$B$35,C56,'[1]Equipes-Pool'!$D$6:$D$35)</f>
        <v>0</v>
      </c>
      <c r="P56" s="30">
        <f>SUMIF('[1]Equipes-Pool'!$B$6:$B$35,C56,'[1]Equipes-Pool'!$E$6:$E$35)</f>
        <v>0</v>
      </c>
      <c r="Q56" s="30">
        <f>SUMIF('[1]Equipes-Pool'!$B$6:$B$35,C56,'[1]Equipes-Pool'!$F$6:$F$35)</f>
        <v>0</v>
      </c>
      <c r="R56" s="91">
        <f>SUMIF('[1]Equipes-Pool'!$B$6:$B$35,C56,'[1]Equipes-Pool'!$G$6:$G$35)</f>
        <v>0</v>
      </c>
    </row>
    <row r="57" spans="1:18" ht="16.5" thickBot="1">
      <c r="A57" s="51" t="s">
        <v>40</v>
      </c>
      <c r="B57" s="52" t="s">
        <v>70</v>
      </c>
      <c r="C57" s="66" t="s">
        <v>128</v>
      </c>
      <c r="D57" s="64" t="s">
        <v>375</v>
      </c>
      <c r="E57" s="59" t="s">
        <v>65</v>
      </c>
      <c r="F57" s="96">
        <f>SUMIF('[1]POOL-joueus'!$D$5:$D$808,C57,'[1]POOL-joueus'!$E$5:$E$808)</f>
        <v>64</v>
      </c>
      <c r="G57" s="96">
        <f>SUMIF('[1]POOL-joueus'!$D$5:$D$808,C57,'[1]POOL-joueus'!$F$5:F$808)</f>
        <v>34</v>
      </c>
      <c r="H57" s="96">
        <f>SUMIF('[1]POOL-joueus'!$D$5:$D$808,C57,'[1]POOL-joueus'!$G$5:G$808)</f>
        <v>31</v>
      </c>
      <c r="I57" s="97">
        <f t="shared" si="2"/>
        <v>65</v>
      </c>
      <c r="J57" s="98">
        <f t="shared" si="3"/>
        <v>1.015625</v>
      </c>
      <c r="K57" s="99">
        <f>SUMIF('[1]Pool-gardien'!$D$5:$D$127,C57,'[1]Pool-gardien'!$F$5:$F$127)</f>
        <v>0</v>
      </c>
      <c r="L57" s="99">
        <f>SUMIF('[1]Pool-gardien'!$D$5:$D$127,C57,'[1]Pool-gardien'!$G$5:$G$127)</f>
        <v>0</v>
      </c>
      <c r="M57" s="99">
        <f>SUMIF('[1]Pool-gardien'!$D$5:$D$127,C57,'[1]Pool-gardien'!$H$5:$H$127)</f>
        <v>0</v>
      </c>
      <c r="N57" s="100">
        <f>SUMIF('[1]Pool-gardien'!$D$5:$D$127,C57,'[1]Pool-gardien'!$K$5:$K$127)</f>
        <v>0</v>
      </c>
      <c r="O57" s="99">
        <f>SUMIF('[1]Equipes-Pool'!$B$6:$B$35,C57,'[1]Equipes-Pool'!$D$6:$D$35)</f>
        <v>0</v>
      </c>
      <c r="P57" s="99">
        <f>SUMIF('[1]Equipes-Pool'!$B$6:$B$35,C57,'[1]Equipes-Pool'!$E$6:$E$35)</f>
        <v>0</v>
      </c>
      <c r="Q57" s="99">
        <f>SUMIF('[1]Equipes-Pool'!$B$6:$B$35,C57,'[1]Equipes-Pool'!$F$6:$F$35)</f>
        <v>0</v>
      </c>
      <c r="R57" s="100">
        <f>SUMIF('[1]Equipes-Pool'!$B$6:$B$35,C57,'[1]Equipes-Pool'!$G$6:$G$35)</f>
        <v>0</v>
      </c>
    </row>
    <row r="58" spans="1:18" ht="15.75">
      <c r="A58" s="20" t="s">
        <v>33</v>
      </c>
      <c r="B58" s="21" t="s">
        <v>103</v>
      </c>
      <c r="C58" s="67" t="s">
        <v>104</v>
      </c>
      <c r="D58" s="63" t="s">
        <v>376</v>
      </c>
      <c r="E58" s="65" t="s">
        <v>8</v>
      </c>
      <c r="F58" s="40">
        <f>SUMIF('[1]POOL-joueus'!$D$5:$D$808,C58,'[1]POOL-joueus'!$E$5:$E$808)</f>
        <v>66</v>
      </c>
      <c r="G58" s="40">
        <f>SUMIF('[1]POOL-joueus'!$D$5:$D$808,C58,'[1]POOL-joueus'!$F$5:F$808)</f>
        <v>12</v>
      </c>
      <c r="H58" s="40">
        <f>SUMIF('[1]POOL-joueus'!$D$5:$D$808,C58,'[1]POOL-joueus'!$G$5:G$808)</f>
        <v>32</v>
      </c>
      <c r="I58" s="94">
        <f t="shared" si="2"/>
        <v>44</v>
      </c>
      <c r="J58" s="95">
        <f t="shared" si="3"/>
        <v>0.6666666666666666</v>
      </c>
      <c r="K58" s="35">
        <f>SUMIF('[1]Pool-gardien'!$D$5:$D$127,C58,'[1]Pool-gardien'!$F$5:$F$127)</f>
        <v>0</v>
      </c>
      <c r="L58" s="35">
        <f>SUMIF('[1]Pool-gardien'!$D$5:$D$127,C58,'[1]Pool-gardien'!$G$5:$G$127)</f>
        <v>0</v>
      </c>
      <c r="M58" s="35">
        <f>SUMIF('[1]Pool-gardien'!$D$5:$D$127,C58,'[1]Pool-gardien'!$H$5:$H$127)</f>
        <v>0</v>
      </c>
      <c r="N58" s="89">
        <f>SUMIF('[1]Pool-gardien'!$D$5:$D$127,C58,'[1]Pool-gardien'!$K$5:$K$127)</f>
        <v>0</v>
      </c>
      <c r="O58" s="35">
        <f>SUMIF('[1]Equipes-Pool'!$B$6:$B$35,C58,'[1]Equipes-Pool'!$D$6:$D$35)</f>
        <v>0</v>
      </c>
      <c r="P58" s="35">
        <f>SUMIF('[1]Equipes-Pool'!$B$6:$B$35,C58,'[1]Equipes-Pool'!$E$6:$E$35)</f>
        <v>0</v>
      </c>
      <c r="Q58" s="35">
        <f>SUMIF('[1]Equipes-Pool'!$B$6:$B$35,C58,'[1]Equipes-Pool'!$F$6:$F$35)</f>
        <v>0</v>
      </c>
      <c r="R58" s="89">
        <f>SUMIF('[1]Equipes-Pool'!$B$6:$B$35,C58,'[1]Equipes-Pool'!$G$6:$G$35)</f>
        <v>0</v>
      </c>
    </row>
    <row r="59" spans="1:18" ht="15.75">
      <c r="A59" s="12" t="s">
        <v>12</v>
      </c>
      <c r="B59" s="14" t="s">
        <v>103</v>
      </c>
      <c r="C59" s="55" t="s">
        <v>107</v>
      </c>
      <c r="D59" s="62" t="s">
        <v>376</v>
      </c>
      <c r="E59" s="10" t="s">
        <v>16</v>
      </c>
      <c r="F59" s="84">
        <f>SUMIF('[1]POOL-joueus'!$D$5:$D$808,C59,'[1]POOL-joueus'!$E$5:$E$808)</f>
        <v>19</v>
      </c>
      <c r="G59" s="84">
        <f>SUMIF('[1]POOL-joueus'!$D$5:$D$808,C59,'[1]POOL-joueus'!$F$5:F$808)</f>
        <v>7</v>
      </c>
      <c r="H59" s="84">
        <f>SUMIF('[1]POOL-joueus'!$D$5:$D$808,C59,'[1]POOL-joueus'!$G$5:G$808)</f>
        <v>6</v>
      </c>
      <c r="I59" s="90">
        <f t="shared" si="2"/>
        <v>13</v>
      </c>
      <c r="J59" s="85">
        <f t="shared" si="3"/>
        <v>0.6842105263157895</v>
      </c>
      <c r="K59" s="30">
        <f>SUMIF('[1]Pool-gardien'!$D$5:$D$127,C59,'[1]Pool-gardien'!$F$5:$F$127)</f>
        <v>0</v>
      </c>
      <c r="L59" s="30">
        <f>SUMIF('[1]Pool-gardien'!$D$5:$D$127,C59,'[1]Pool-gardien'!$G$5:$G$127)</f>
        <v>0</v>
      </c>
      <c r="M59" s="30">
        <f>SUMIF('[1]Pool-gardien'!$D$5:$D$127,C59,'[1]Pool-gardien'!$H$5:$H$127)</f>
        <v>0</v>
      </c>
      <c r="N59" s="91">
        <f>SUMIF('[1]Pool-gardien'!$D$5:$D$127,C59,'[1]Pool-gardien'!$K$5:$K$127)</f>
        <v>0</v>
      </c>
      <c r="O59" s="30">
        <f>SUMIF('[1]Equipes-Pool'!$B$6:$B$35,C59,'[1]Equipes-Pool'!$D$6:$D$35)</f>
        <v>0</v>
      </c>
      <c r="P59" s="30">
        <f>SUMIF('[1]Equipes-Pool'!$B$6:$B$35,C59,'[1]Equipes-Pool'!$E$6:$E$35)</f>
        <v>0</v>
      </c>
      <c r="Q59" s="30">
        <f>SUMIF('[1]Equipes-Pool'!$B$6:$B$35,C59,'[1]Equipes-Pool'!$F$6:$F$35)</f>
        <v>0</v>
      </c>
      <c r="R59" s="91">
        <f>SUMIF('[1]Equipes-Pool'!$B$6:$B$35,C59,'[1]Equipes-Pool'!$G$6:$G$35)</f>
        <v>0</v>
      </c>
    </row>
    <row r="60" spans="1:18" ht="15.75">
      <c r="A60" s="12" t="s">
        <v>40</v>
      </c>
      <c r="B60" s="14" t="s">
        <v>109</v>
      </c>
      <c r="C60" s="55" t="s">
        <v>110</v>
      </c>
      <c r="D60" s="62" t="s">
        <v>376</v>
      </c>
      <c r="E60" s="10" t="s">
        <v>23</v>
      </c>
      <c r="F60" s="84">
        <f>SUMIF('[1]POOL-joueus'!$D$5:$D$808,C60,'[1]POOL-joueus'!$E$5:$E$808)</f>
        <v>50</v>
      </c>
      <c r="G60" s="84">
        <f>SUMIF('[1]POOL-joueus'!$D$5:$D$808,C60,'[1]POOL-joueus'!$F$5:F$808)</f>
        <v>18</v>
      </c>
      <c r="H60" s="84">
        <f>SUMIF('[1]POOL-joueus'!$D$5:$D$808,C60,'[1]POOL-joueus'!$G$5:G$808)</f>
        <v>21</v>
      </c>
      <c r="I60" s="90">
        <f t="shared" si="2"/>
        <v>39</v>
      </c>
      <c r="J60" s="85">
        <f t="shared" si="3"/>
        <v>0.78</v>
      </c>
      <c r="K60" s="30">
        <f>SUMIF('[1]Pool-gardien'!$D$5:$D$127,C60,'[1]Pool-gardien'!$F$5:$F$127)</f>
        <v>0</v>
      </c>
      <c r="L60" s="30">
        <f>SUMIF('[1]Pool-gardien'!$D$5:$D$127,C60,'[1]Pool-gardien'!$G$5:$G$127)</f>
        <v>0</v>
      </c>
      <c r="M60" s="30">
        <f>SUMIF('[1]Pool-gardien'!$D$5:$D$127,C60,'[1]Pool-gardien'!$H$5:$H$127)</f>
        <v>0</v>
      </c>
      <c r="N60" s="91">
        <f>SUMIF('[1]Pool-gardien'!$D$5:$D$127,C60,'[1]Pool-gardien'!$K$5:$K$127)</f>
        <v>0</v>
      </c>
      <c r="O60" s="30">
        <f>SUMIF('[1]Equipes-Pool'!$B$6:$B$35,C60,'[1]Equipes-Pool'!$D$6:$D$35)</f>
        <v>0</v>
      </c>
      <c r="P60" s="30">
        <f>SUMIF('[1]Equipes-Pool'!$B$6:$B$35,C60,'[1]Equipes-Pool'!$E$6:$E$35)</f>
        <v>0</v>
      </c>
      <c r="Q60" s="30">
        <f>SUMIF('[1]Equipes-Pool'!$B$6:$B$35,C60,'[1]Equipes-Pool'!$F$6:$F$35)</f>
        <v>0</v>
      </c>
      <c r="R60" s="91">
        <f>SUMIF('[1]Equipes-Pool'!$B$6:$B$35,C60,'[1]Equipes-Pool'!$G$6:$G$35)</f>
        <v>0</v>
      </c>
    </row>
    <row r="61" spans="1:18" ht="15.75">
      <c r="A61" s="12" t="s">
        <v>33</v>
      </c>
      <c r="B61" s="14" t="s">
        <v>84</v>
      </c>
      <c r="C61" s="55" t="s">
        <v>113</v>
      </c>
      <c r="D61" s="62" t="s">
        <v>376</v>
      </c>
      <c r="E61" s="10" t="s">
        <v>32</v>
      </c>
      <c r="F61" s="84">
        <f>SUMIF('[1]POOL-joueus'!$D$5:$D$808,C61,'[1]POOL-joueus'!$E$5:$E$808)</f>
        <v>59</v>
      </c>
      <c r="G61" s="84">
        <f>SUMIF('[1]POOL-joueus'!$D$5:$D$808,C61,'[1]POOL-joueus'!$F$5:F$808)</f>
        <v>8</v>
      </c>
      <c r="H61" s="84">
        <f>SUMIF('[1]POOL-joueus'!$D$5:$D$808,C61,'[1]POOL-joueus'!$G$5:G$808)</f>
        <v>22</v>
      </c>
      <c r="I61" s="90">
        <f t="shared" si="2"/>
        <v>30</v>
      </c>
      <c r="J61" s="85">
        <f t="shared" si="3"/>
        <v>0.5084745762711864</v>
      </c>
      <c r="K61" s="30">
        <f>SUMIF('[1]Pool-gardien'!$D$5:$D$127,C61,'[1]Pool-gardien'!$F$5:$F$127)</f>
        <v>0</v>
      </c>
      <c r="L61" s="30">
        <f>SUMIF('[1]Pool-gardien'!$D$5:$D$127,C61,'[1]Pool-gardien'!$G$5:$G$127)</f>
        <v>0</v>
      </c>
      <c r="M61" s="30">
        <f>SUMIF('[1]Pool-gardien'!$D$5:$D$127,C61,'[1]Pool-gardien'!$H$5:$H$127)</f>
        <v>0</v>
      </c>
      <c r="N61" s="91">
        <f>SUMIF('[1]Pool-gardien'!$D$5:$D$127,C61,'[1]Pool-gardien'!$K$5:$K$127)</f>
        <v>0</v>
      </c>
      <c r="O61" s="30">
        <f>SUMIF('[1]Equipes-Pool'!$B$6:$B$35,C61,'[1]Equipes-Pool'!$D$6:$D$35)</f>
        <v>0</v>
      </c>
      <c r="P61" s="30">
        <f>SUMIF('[1]Equipes-Pool'!$B$6:$B$35,C61,'[1]Equipes-Pool'!$E$6:$E$35)</f>
        <v>0</v>
      </c>
      <c r="Q61" s="30">
        <f>SUMIF('[1]Equipes-Pool'!$B$6:$B$35,C61,'[1]Equipes-Pool'!$F$6:$F$35)</f>
        <v>0</v>
      </c>
      <c r="R61" s="91">
        <f>SUMIF('[1]Equipes-Pool'!$B$6:$B$35,C61,'[1]Equipes-Pool'!$G$6:$G$35)</f>
        <v>0</v>
      </c>
    </row>
    <row r="62" spans="1:18" ht="15.75">
      <c r="A62" s="20" t="s">
        <v>40</v>
      </c>
      <c r="B62" s="21" t="s">
        <v>105</v>
      </c>
      <c r="C62" s="55" t="s">
        <v>115</v>
      </c>
      <c r="D62" s="62" t="s">
        <v>376</v>
      </c>
      <c r="E62" s="10" t="s">
        <v>39</v>
      </c>
      <c r="F62" s="84">
        <f>SUMIF('[1]POOL-joueus'!$D$5:$D$808,C62,'[1]POOL-joueus'!$E$5:$E$808)</f>
        <v>65</v>
      </c>
      <c r="G62" s="84">
        <f>SUMIF('[1]POOL-joueus'!$D$5:$D$808,C62,'[1]POOL-joueus'!$F$5:F$808)</f>
        <v>9</v>
      </c>
      <c r="H62" s="84">
        <f>SUMIF('[1]POOL-joueus'!$D$5:$D$808,C62,'[1]POOL-joueus'!$G$5:G$808)</f>
        <v>25</v>
      </c>
      <c r="I62" s="90">
        <f t="shared" si="2"/>
        <v>34</v>
      </c>
      <c r="J62" s="85">
        <f t="shared" si="3"/>
        <v>0.5230769230769231</v>
      </c>
      <c r="K62" s="30">
        <f>SUMIF('[1]Pool-gardien'!$D$5:$D$127,C62,'[1]Pool-gardien'!$F$5:$F$127)</f>
        <v>0</v>
      </c>
      <c r="L62" s="30">
        <f>SUMIF('[1]Pool-gardien'!$D$5:$D$127,C62,'[1]Pool-gardien'!$G$5:$G$127)</f>
        <v>0</v>
      </c>
      <c r="M62" s="30">
        <f>SUMIF('[1]Pool-gardien'!$D$5:$D$127,C62,'[1]Pool-gardien'!$H$5:$H$127)</f>
        <v>0</v>
      </c>
      <c r="N62" s="91">
        <f>SUMIF('[1]Pool-gardien'!$D$5:$D$127,C62,'[1]Pool-gardien'!$K$5:$K$127)</f>
        <v>0</v>
      </c>
      <c r="O62" s="30">
        <f>SUMIF('[1]Equipes-Pool'!$B$6:$B$35,C62,'[1]Equipes-Pool'!$D$6:$D$35)</f>
        <v>0</v>
      </c>
      <c r="P62" s="30">
        <f>SUMIF('[1]Equipes-Pool'!$B$6:$B$35,C62,'[1]Equipes-Pool'!$E$6:$E$35)</f>
        <v>0</v>
      </c>
      <c r="Q62" s="30">
        <f>SUMIF('[1]Equipes-Pool'!$B$6:$B$35,C62,'[1]Equipes-Pool'!$F$6:$F$35)</f>
        <v>0</v>
      </c>
      <c r="R62" s="91">
        <f>SUMIF('[1]Equipes-Pool'!$B$6:$B$35,C62,'[1]Equipes-Pool'!$G$6:$G$35)</f>
        <v>0</v>
      </c>
    </row>
    <row r="63" spans="1:18" ht="15.75">
      <c r="A63" s="12" t="s">
        <v>12</v>
      </c>
      <c r="B63" s="14" t="s">
        <v>17</v>
      </c>
      <c r="C63" s="55" t="s">
        <v>117</v>
      </c>
      <c r="D63" s="62" t="s">
        <v>376</v>
      </c>
      <c r="E63" s="10" t="s">
        <v>27</v>
      </c>
      <c r="F63" s="84">
        <f>SUMIF('[1]POOL-joueus'!$D$5:$D$808,C63,'[1]POOL-joueus'!$E$5:$E$808)</f>
        <v>61</v>
      </c>
      <c r="G63" s="84">
        <f>SUMIF('[1]POOL-joueus'!$D$5:$D$808,C63,'[1]POOL-joueus'!$F$5:F$808)</f>
        <v>20</v>
      </c>
      <c r="H63" s="84">
        <f>SUMIF('[1]POOL-joueus'!$D$5:$D$808,C63,'[1]POOL-joueus'!$G$5:G$808)</f>
        <v>20</v>
      </c>
      <c r="I63" s="90">
        <f t="shared" si="2"/>
        <v>40</v>
      </c>
      <c r="J63" s="85">
        <f t="shared" si="3"/>
        <v>0.6557377049180327</v>
      </c>
      <c r="K63" s="30">
        <f>SUMIF('[1]Pool-gardien'!$D$5:$D$127,C63,'[1]Pool-gardien'!$F$5:$F$127)</f>
        <v>0</v>
      </c>
      <c r="L63" s="30">
        <f>SUMIF('[1]Pool-gardien'!$D$5:$D$127,C63,'[1]Pool-gardien'!$G$5:$G$127)</f>
        <v>0</v>
      </c>
      <c r="M63" s="30">
        <f>SUMIF('[1]Pool-gardien'!$D$5:$D$127,C63,'[1]Pool-gardien'!$H$5:$H$127)</f>
        <v>0</v>
      </c>
      <c r="N63" s="91">
        <f>SUMIF('[1]Pool-gardien'!$D$5:$D$127,C63,'[1]Pool-gardien'!$K$5:$K$127)</f>
        <v>0</v>
      </c>
      <c r="O63" s="30">
        <f>SUMIF('[1]Equipes-Pool'!$B$6:$B$35,C63,'[1]Equipes-Pool'!$D$6:$D$35)</f>
        <v>0</v>
      </c>
      <c r="P63" s="30">
        <f>SUMIF('[1]Equipes-Pool'!$B$6:$B$35,C63,'[1]Equipes-Pool'!$E$6:$E$35)</f>
        <v>0</v>
      </c>
      <c r="Q63" s="30">
        <f>SUMIF('[1]Equipes-Pool'!$B$6:$B$35,C63,'[1]Equipes-Pool'!$F$6:$F$35)</f>
        <v>0</v>
      </c>
      <c r="R63" s="91">
        <f>SUMIF('[1]Equipes-Pool'!$B$6:$B$35,C63,'[1]Equipes-Pool'!$G$6:$G$35)</f>
        <v>0</v>
      </c>
    </row>
    <row r="64" spans="1:18" ht="15.75">
      <c r="A64" s="12" t="s">
        <v>12</v>
      </c>
      <c r="B64" s="14" t="s">
        <v>120</v>
      </c>
      <c r="C64" s="55" t="s">
        <v>121</v>
      </c>
      <c r="D64" s="62" t="s">
        <v>376</v>
      </c>
      <c r="E64" s="10" t="s">
        <v>52</v>
      </c>
      <c r="F64" s="84">
        <f>SUMIF('[1]POOL-joueus'!$D$5:$D$808,C64,'[1]POOL-joueus'!$E$5:$E$808)</f>
        <v>36</v>
      </c>
      <c r="G64" s="84">
        <f>SUMIF('[1]POOL-joueus'!$D$5:$D$808,C64,'[1]POOL-joueus'!$F$5:F$808)</f>
        <v>2</v>
      </c>
      <c r="H64" s="84">
        <f>SUMIF('[1]POOL-joueus'!$D$5:$D$808,C64,'[1]POOL-joueus'!$G$5:G$808)</f>
        <v>12</v>
      </c>
      <c r="I64" s="90">
        <f t="shared" si="2"/>
        <v>14</v>
      </c>
      <c r="J64" s="85">
        <f t="shared" si="3"/>
        <v>0.3888888888888889</v>
      </c>
      <c r="K64" s="30">
        <f>SUMIF('[1]Pool-gardien'!$D$5:$D$127,C64,'[1]Pool-gardien'!$F$5:$F$127)</f>
        <v>0</v>
      </c>
      <c r="L64" s="30">
        <f>SUMIF('[1]Pool-gardien'!$D$5:$D$127,C64,'[1]Pool-gardien'!$G$5:$G$127)</f>
        <v>0</v>
      </c>
      <c r="M64" s="30">
        <f>SUMIF('[1]Pool-gardien'!$D$5:$D$127,C64,'[1]Pool-gardien'!$H$5:$H$127)</f>
        <v>0</v>
      </c>
      <c r="N64" s="91">
        <f>SUMIF('[1]Pool-gardien'!$D$5:$D$127,C64,'[1]Pool-gardien'!$K$5:$K$127)</f>
        <v>0</v>
      </c>
      <c r="O64" s="30">
        <f>SUMIF('[1]Equipes-Pool'!$B$6:$B$35,C64,'[1]Equipes-Pool'!$D$6:$D$35)</f>
        <v>0</v>
      </c>
      <c r="P64" s="30">
        <f>SUMIF('[1]Equipes-Pool'!$B$6:$B$35,C64,'[1]Equipes-Pool'!$E$6:$E$35)</f>
        <v>0</v>
      </c>
      <c r="Q64" s="30">
        <f>SUMIF('[1]Equipes-Pool'!$B$6:$B$35,C64,'[1]Equipes-Pool'!$F$6:$F$35)</f>
        <v>0</v>
      </c>
      <c r="R64" s="91">
        <f>SUMIF('[1]Equipes-Pool'!$B$6:$B$35,C64,'[1]Equipes-Pool'!$G$6:$G$35)</f>
        <v>0</v>
      </c>
    </row>
    <row r="65" spans="1:18" ht="15.75">
      <c r="A65" s="17" t="s">
        <v>28</v>
      </c>
      <c r="B65" s="18" t="s">
        <v>111</v>
      </c>
      <c r="C65" s="70" t="s">
        <v>124</v>
      </c>
      <c r="D65" s="62" t="s">
        <v>376</v>
      </c>
      <c r="E65" s="10" t="s">
        <v>39</v>
      </c>
      <c r="F65" s="82">
        <f>SUMIF('[1]Pool-gardien'!$D$5:$D$127,C65,'[1]Pool-gardien'!$E$5:$E$127)</f>
        <v>17</v>
      </c>
      <c r="G65" s="82">
        <f>SUMIF('[1]Pool-gardien'!$D$5:$D$127,C65,'[1]Pool-gardien'!$I$5:$I$127)</f>
        <v>0</v>
      </c>
      <c r="H65" s="82">
        <f>SUMIF('[1]Pool-gardien'!$D$5:$D$127,C65,'[1]Pool-gardien'!$J$5:$J$127)</f>
        <v>0</v>
      </c>
      <c r="I65" s="92">
        <f t="shared" si="2"/>
        <v>0</v>
      </c>
      <c r="J65" s="81">
        <f t="shared" si="3"/>
        <v>0</v>
      </c>
      <c r="K65" s="82">
        <f>SUMIF('[1]Pool-gardien'!$D$5:$D$127,C65,'[1]Pool-gardien'!$F$5:$F$127)</f>
        <v>6</v>
      </c>
      <c r="L65" s="82">
        <f>SUMIF('[1]Pool-gardien'!$D$5:$D$127,C65,'[1]Pool-gardien'!$G$5:$G$127)</f>
        <v>0</v>
      </c>
      <c r="M65" s="82">
        <f>SUMIF('[1]Pool-gardien'!$D$5:$D$127,C65,'[1]Pool-gardien'!$H$5:$H$127)</f>
        <v>0</v>
      </c>
      <c r="N65" s="92">
        <f>SUMIF('[1]Pool-gardien'!$D$5:$D$127,C65,'[1]Pool-gardien'!$K$5:$K$127)</f>
        <v>12</v>
      </c>
      <c r="O65" s="30">
        <f>SUMIF('[1]Equipes-Pool'!$B$6:$B$35,C65,'[1]Equipes-Pool'!$D$6:$D$35)</f>
        <v>0</v>
      </c>
      <c r="P65" s="30">
        <f>SUMIF('[1]Equipes-Pool'!$B$6:$B$35,C65,'[1]Equipes-Pool'!$E$6:$E$35)</f>
        <v>0</v>
      </c>
      <c r="Q65" s="30">
        <f>SUMIF('[1]Equipes-Pool'!$B$6:$B$35,C65,'[1]Equipes-Pool'!$F$6:$F$35)</f>
        <v>0</v>
      </c>
      <c r="R65" s="91">
        <f>SUMIF('[1]Equipes-Pool'!$B$6:$B$35,C65,'[1]Equipes-Pool'!$G$6:$G$35)</f>
        <v>0</v>
      </c>
    </row>
    <row r="66" spans="1:18" ht="15.75">
      <c r="A66" s="20" t="s">
        <v>12</v>
      </c>
      <c r="B66" s="21" t="s">
        <v>75</v>
      </c>
      <c r="C66" s="55" t="s">
        <v>127</v>
      </c>
      <c r="D66" s="62" t="s">
        <v>376</v>
      </c>
      <c r="E66" s="10" t="s">
        <v>62</v>
      </c>
      <c r="F66" s="84">
        <f>SUMIF('[1]POOL-joueus'!$D$5:$D$808,C66,'[1]POOL-joueus'!$E$5:$E$808)</f>
        <v>67</v>
      </c>
      <c r="G66" s="84">
        <f>SUMIF('[1]POOL-joueus'!$D$5:$D$808,C66,'[1]POOL-joueus'!$F$5:F$808)</f>
        <v>19</v>
      </c>
      <c r="H66" s="84">
        <f>SUMIF('[1]POOL-joueus'!$D$5:$D$808,C66,'[1]POOL-joueus'!$G$5:G$808)</f>
        <v>22</v>
      </c>
      <c r="I66" s="90">
        <f t="shared" si="2"/>
        <v>41</v>
      </c>
      <c r="J66" s="85">
        <f t="shared" si="3"/>
        <v>0.6119402985074627</v>
      </c>
      <c r="K66" s="30">
        <f>SUMIF('[1]Pool-gardien'!$D$5:$D$127,C66,'[1]Pool-gardien'!$F$5:$F$127)</f>
        <v>0</v>
      </c>
      <c r="L66" s="30">
        <f>SUMIF('[1]Pool-gardien'!$D$5:$D$127,C66,'[1]Pool-gardien'!$G$5:$G$127)</f>
        <v>0</v>
      </c>
      <c r="M66" s="30">
        <f>SUMIF('[1]Pool-gardien'!$D$5:$D$127,C66,'[1]Pool-gardien'!$H$5:$H$127)</f>
        <v>0</v>
      </c>
      <c r="N66" s="91">
        <f>SUMIF('[1]Pool-gardien'!$D$5:$D$127,C66,'[1]Pool-gardien'!$K$5:$K$127)</f>
        <v>0</v>
      </c>
      <c r="O66" s="30">
        <f>SUMIF('[1]Equipes-Pool'!$B$6:$B$35,C66,'[1]Equipes-Pool'!$D$6:$D$35)</f>
        <v>0</v>
      </c>
      <c r="P66" s="30">
        <f>SUMIF('[1]Equipes-Pool'!$B$6:$B$35,C66,'[1]Equipes-Pool'!$E$6:$E$35)</f>
        <v>0</v>
      </c>
      <c r="Q66" s="30">
        <f>SUMIF('[1]Equipes-Pool'!$B$6:$B$35,C66,'[1]Equipes-Pool'!$F$6:$F$35)</f>
        <v>0</v>
      </c>
      <c r="R66" s="91">
        <f>SUMIF('[1]Equipes-Pool'!$B$6:$B$35,C66,'[1]Equipes-Pool'!$G$6:$G$35)</f>
        <v>0</v>
      </c>
    </row>
    <row r="67" spans="1:18" ht="16.5" thickBot="1">
      <c r="A67" s="49" t="s">
        <v>24</v>
      </c>
      <c r="B67" s="50" t="s">
        <v>118</v>
      </c>
      <c r="C67" s="66" t="s">
        <v>129</v>
      </c>
      <c r="D67" s="64" t="s">
        <v>376</v>
      </c>
      <c r="E67" s="59" t="s">
        <v>27</v>
      </c>
      <c r="F67" s="99">
        <f>SUMIF('[1]POOL-joueus'!$D$5:$D$808,C67,'[1]POOL-joueus'!$E$5:$E$808)</f>
        <v>45</v>
      </c>
      <c r="G67" s="99">
        <f>SUMIF('[1]POOL-joueus'!$D$5:$D$808,C67,'[1]POOL-joueus'!$F$5:F$808)</f>
        <v>13</v>
      </c>
      <c r="H67" s="99">
        <f>SUMIF('[1]POOL-joueus'!$D$5:$D$808,C67,'[1]POOL-joueus'!$G$5:G$808)</f>
        <v>10</v>
      </c>
      <c r="I67" s="100">
        <f t="shared" si="2"/>
        <v>23</v>
      </c>
      <c r="J67" s="103">
        <f t="shared" si="3"/>
        <v>0.5111111111111111</v>
      </c>
      <c r="K67" s="99">
        <f>SUMIF('[1]Pool-gardien'!$D$5:$D$127,C67,'[1]Pool-gardien'!$F$5:$F$127)</f>
        <v>0</v>
      </c>
      <c r="L67" s="99">
        <f>SUMIF('[1]Pool-gardien'!$D$5:$D$127,C67,'[1]Pool-gardien'!$G$5:$G$127)</f>
        <v>0</v>
      </c>
      <c r="M67" s="99">
        <f>SUMIF('[1]Pool-gardien'!$D$5:$D$127,C67,'[1]Pool-gardien'!$H$5:$H$127)</f>
        <v>0</v>
      </c>
      <c r="N67" s="100">
        <f>SUMIF('[1]Pool-gardien'!$D$5:$D$127,C67,'[1]Pool-gardien'!$K$5:$K$127)</f>
        <v>0</v>
      </c>
      <c r="O67" s="99">
        <f>SUMIF('[1]Equipes-Pool'!$B$6:$B$35,C67,'[1]Equipes-Pool'!$D$6:$D$35)</f>
        <v>0</v>
      </c>
      <c r="P67" s="99">
        <f>SUMIF('[1]Equipes-Pool'!$B$6:$B$35,C67,'[1]Equipes-Pool'!$E$6:$E$35)</f>
        <v>0</v>
      </c>
      <c r="Q67" s="99">
        <f>SUMIF('[1]Equipes-Pool'!$B$6:$B$35,C67,'[1]Equipes-Pool'!$F$6:$F$35)</f>
        <v>0</v>
      </c>
      <c r="R67" s="100">
        <f>SUMIF('[1]Equipes-Pool'!$B$6:$B$35,C67,'[1]Equipes-Pool'!$G$6:$G$35)</f>
        <v>0</v>
      </c>
    </row>
    <row r="68" spans="1:18" ht="15.75">
      <c r="A68" s="20" t="s">
        <v>40</v>
      </c>
      <c r="B68" s="21" t="s">
        <v>109</v>
      </c>
      <c r="C68" s="67" t="s">
        <v>132</v>
      </c>
      <c r="D68" s="63" t="s">
        <v>377</v>
      </c>
      <c r="E68" s="65" t="s">
        <v>62</v>
      </c>
      <c r="F68" s="40">
        <f>SUMIF('[1]POOL-joueus'!$D$5:$D$808,C68,'[1]POOL-joueus'!$E$5:$E$808)</f>
        <v>49</v>
      </c>
      <c r="G68" s="40">
        <f>SUMIF('[1]POOL-joueus'!$D$5:$D$808,C68,'[1]POOL-joueus'!$F$5:F$808)</f>
        <v>11</v>
      </c>
      <c r="H68" s="40">
        <f>SUMIF('[1]POOL-joueus'!$D$5:$D$808,C68,'[1]POOL-joueus'!$G$5:G$808)</f>
        <v>25</v>
      </c>
      <c r="I68" s="94">
        <f t="shared" si="2"/>
        <v>36</v>
      </c>
      <c r="J68" s="95">
        <f t="shared" si="3"/>
        <v>0.7346938775510204</v>
      </c>
      <c r="K68" s="35">
        <f>SUMIF('[1]Pool-gardien'!$D$5:$D$127,C68,'[1]Pool-gardien'!$F$5:$F$127)</f>
        <v>0</v>
      </c>
      <c r="L68" s="35">
        <f>SUMIF('[1]Pool-gardien'!$D$5:$D$127,C68,'[1]Pool-gardien'!$G$5:$G$127)</f>
        <v>0</v>
      </c>
      <c r="M68" s="35">
        <f>SUMIF('[1]Pool-gardien'!$D$5:$D$127,C68,'[1]Pool-gardien'!$H$5:$H$127)</f>
        <v>0</v>
      </c>
      <c r="N68" s="89">
        <f>SUMIF('[1]Pool-gardien'!$D$5:$D$127,C68,'[1]Pool-gardien'!$K$5:$K$127)</f>
        <v>0</v>
      </c>
      <c r="O68" s="35">
        <f>SUMIF('[1]Equipes-Pool'!$B$6:$B$35,C68,'[1]Equipes-Pool'!$D$6:$D$35)</f>
        <v>0</v>
      </c>
      <c r="P68" s="35">
        <f>SUMIF('[1]Equipes-Pool'!$B$6:$B$35,C68,'[1]Equipes-Pool'!$E$6:$E$35)</f>
        <v>0</v>
      </c>
      <c r="Q68" s="35">
        <f>SUMIF('[1]Equipes-Pool'!$B$6:$B$35,C68,'[1]Equipes-Pool'!$F$6:$F$35)</f>
        <v>0</v>
      </c>
      <c r="R68" s="89">
        <f>SUMIF('[1]Equipes-Pool'!$B$6:$B$35,C68,'[1]Equipes-Pool'!$G$6:$G$35)</f>
        <v>0</v>
      </c>
    </row>
    <row r="69" spans="1:18" ht="15.75">
      <c r="A69" s="17" t="s">
        <v>28</v>
      </c>
      <c r="B69" s="18" t="s">
        <v>25</v>
      </c>
      <c r="C69" s="70" t="s">
        <v>135</v>
      </c>
      <c r="D69" s="62" t="s">
        <v>377</v>
      </c>
      <c r="E69" s="10" t="s">
        <v>32</v>
      </c>
      <c r="F69" s="82">
        <f>SUMIF('[1]Pool-gardien'!$D$5:$D$127,C69,'[1]Pool-gardien'!$E$5:$E$127)</f>
        <v>5</v>
      </c>
      <c r="G69" s="82">
        <f>SUMIF('[1]Pool-gardien'!$D$5:$D$127,C69,'[1]Pool-gardien'!$I$5:$I$127)</f>
        <v>0</v>
      </c>
      <c r="H69" s="82">
        <f>SUMIF('[1]Pool-gardien'!$D$5:$D$127,C69,'[1]Pool-gardien'!$J$5:$J$127)</f>
        <v>2</v>
      </c>
      <c r="I69" s="92">
        <f t="shared" si="2"/>
        <v>2</v>
      </c>
      <c r="J69" s="81">
        <f t="shared" si="3"/>
        <v>0.4</v>
      </c>
      <c r="K69" s="82">
        <f>SUMIF('[1]Pool-gardien'!$D$5:$D$127,C69,'[1]Pool-gardien'!$F$5:$F$127)</f>
        <v>1</v>
      </c>
      <c r="L69" s="82">
        <f>SUMIF('[1]Pool-gardien'!$D$5:$D$127,C69,'[1]Pool-gardien'!$G$5:$G$127)</f>
        <v>0</v>
      </c>
      <c r="M69" s="82">
        <f>SUMIF('[1]Pool-gardien'!$D$5:$D$127,C69,'[1]Pool-gardien'!$H$5:$H$127)</f>
        <v>0</v>
      </c>
      <c r="N69" s="92">
        <f>SUMIF('[1]Pool-gardien'!$D$5:$D$127,C69,'[1]Pool-gardien'!$K$5:$K$127)</f>
        <v>4</v>
      </c>
      <c r="O69" s="30">
        <f>SUMIF('[1]Equipes-Pool'!$B$6:$B$35,C69,'[1]Equipes-Pool'!$D$6:$D$35)</f>
        <v>0</v>
      </c>
      <c r="P69" s="30">
        <f>SUMIF('[1]Equipes-Pool'!$B$6:$B$35,C69,'[1]Equipes-Pool'!$E$6:$E$35)</f>
        <v>0</v>
      </c>
      <c r="Q69" s="30">
        <f>SUMIF('[1]Equipes-Pool'!$B$6:$B$35,C69,'[1]Equipes-Pool'!$F$6:$F$35)</f>
        <v>0</v>
      </c>
      <c r="R69" s="91">
        <f>SUMIF('[1]Equipes-Pool'!$B$6:$B$35,C69,'[1]Equipes-Pool'!$G$6:$G$35)</f>
        <v>0</v>
      </c>
    </row>
    <row r="70" spans="1:18" ht="15.75">
      <c r="A70" s="12" t="s">
        <v>12</v>
      </c>
      <c r="B70" s="14" t="s">
        <v>103</v>
      </c>
      <c r="C70" s="55" t="s">
        <v>137</v>
      </c>
      <c r="D70" s="62" t="s">
        <v>377</v>
      </c>
      <c r="E70" s="10" t="s">
        <v>23</v>
      </c>
      <c r="F70" s="84">
        <f>SUMIF('[1]POOL-joueus'!$D$5:$D$808,C70,'[1]POOL-joueus'!$E$5:$E$808)</f>
        <v>59</v>
      </c>
      <c r="G70" s="84">
        <f>SUMIF('[1]POOL-joueus'!$D$5:$D$808,C70,'[1]POOL-joueus'!$F$5:F$808)</f>
        <v>23</v>
      </c>
      <c r="H70" s="84">
        <f>SUMIF('[1]POOL-joueus'!$D$5:$D$808,C70,'[1]POOL-joueus'!$G$5:G$808)</f>
        <v>19</v>
      </c>
      <c r="I70" s="90">
        <f t="shared" si="2"/>
        <v>42</v>
      </c>
      <c r="J70" s="85">
        <f t="shared" si="3"/>
        <v>0.711864406779661</v>
      </c>
      <c r="K70" s="30">
        <f>SUMIF('[1]Pool-gardien'!$D$5:$D$127,C70,'[1]Pool-gardien'!$F$5:$F$127)</f>
        <v>0</v>
      </c>
      <c r="L70" s="30">
        <f>SUMIF('[1]Pool-gardien'!$D$5:$D$127,C70,'[1]Pool-gardien'!$G$5:$G$127)</f>
        <v>0</v>
      </c>
      <c r="M70" s="30">
        <f>SUMIF('[1]Pool-gardien'!$D$5:$D$127,C70,'[1]Pool-gardien'!$H$5:$H$127)</f>
        <v>0</v>
      </c>
      <c r="N70" s="91">
        <f>SUMIF('[1]Pool-gardien'!$D$5:$D$127,C70,'[1]Pool-gardien'!$K$5:$K$127)</f>
        <v>0</v>
      </c>
      <c r="O70" s="30">
        <f>SUMIF('[1]Equipes-Pool'!$B$6:$B$35,C70,'[1]Equipes-Pool'!$D$6:$D$35)</f>
        <v>0</v>
      </c>
      <c r="P70" s="30">
        <f>SUMIF('[1]Equipes-Pool'!$B$6:$B$35,C70,'[1]Equipes-Pool'!$E$6:$E$35)</f>
        <v>0</v>
      </c>
      <c r="Q70" s="30">
        <f>SUMIF('[1]Equipes-Pool'!$B$6:$B$35,C70,'[1]Equipes-Pool'!$F$6:$F$35)</f>
        <v>0</v>
      </c>
      <c r="R70" s="91">
        <f>SUMIF('[1]Equipes-Pool'!$B$6:$B$35,C70,'[1]Equipes-Pool'!$G$6:$G$35)</f>
        <v>0</v>
      </c>
    </row>
    <row r="71" spans="1:18" ht="15.75">
      <c r="A71" s="12" t="s">
        <v>12</v>
      </c>
      <c r="B71" s="14" t="s">
        <v>84</v>
      </c>
      <c r="C71" s="55" t="s">
        <v>139</v>
      </c>
      <c r="D71" s="62" t="s">
        <v>377</v>
      </c>
      <c r="E71" s="10" t="s">
        <v>32</v>
      </c>
      <c r="F71" s="84">
        <f>SUMIF('[1]POOL-joueus'!$D$5:$D$808,C71,'[1]POOL-joueus'!$E$5:$E$808)</f>
        <v>65</v>
      </c>
      <c r="G71" s="84">
        <f>SUMIF('[1]POOL-joueus'!$D$5:$D$808,C71,'[1]POOL-joueus'!$F$5:F$808)</f>
        <v>14</v>
      </c>
      <c r="H71" s="84">
        <f>SUMIF('[1]POOL-joueus'!$D$5:$D$808,C71,'[1]POOL-joueus'!$G$5:G$808)</f>
        <v>23</v>
      </c>
      <c r="I71" s="90">
        <f t="shared" si="2"/>
        <v>37</v>
      </c>
      <c r="J71" s="85">
        <f t="shared" si="3"/>
        <v>0.5692307692307692</v>
      </c>
      <c r="K71" s="30">
        <f>SUMIF('[1]Pool-gardien'!$D$5:$D$127,C71,'[1]Pool-gardien'!$F$5:$F$127)</f>
        <v>0</v>
      </c>
      <c r="L71" s="30">
        <f>SUMIF('[1]Pool-gardien'!$D$5:$D$127,C71,'[1]Pool-gardien'!$G$5:$G$127)</f>
        <v>0</v>
      </c>
      <c r="M71" s="30">
        <f>SUMIF('[1]Pool-gardien'!$D$5:$D$127,C71,'[1]Pool-gardien'!$H$5:$H$127)</f>
        <v>0</v>
      </c>
      <c r="N71" s="91">
        <f>SUMIF('[1]Pool-gardien'!$D$5:$D$127,C71,'[1]Pool-gardien'!$K$5:$K$127)</f>
        <v>0</v>
      </c>
      <c r="O71" s="30">
        <f>SUMIF('[1]Equipes-Pool'!$B$6:$B$35,C71,'[1]Equipes-Pool'!$D$6:$D$35)</f>
        <v>0</v>
      </c>
      <c r="P71" s="30">
        <f>SUMIF('[1]Equipes-Pool'!$B$6:$B$35,C71,'[1]Equipes-Pool'!$E$6:$E$35)</f>
        <v>0</v>
      </c>
      <c r="Q71" s="30">
        <f>SUMIF('[1]Equipes-Pool'!$B$6:$B$35,C71,'[1]Equipes-Pool'!$F$6:$F$35)</f>
        <v>0</v>
      </c>
      <c r="R71" s="91">
        <f>SUMIF('[1]Equipes-Pool'!$B$6:$B$35,C71,'[1]Equipes-Pool'!$G$6:$G$35)</f>
        <v>0</v>
      </c>
    </row>
    <row r="72" spans="1:18" ht="15.75">
      <c r="A72" s="12" t="s">
        <v>40</v>
      </c>
      <c r="B72" s="14" t="s">
        <v>70</v>
      </c>
      <c r="C72" s="55" t="s">
        <v>143</v>
      </c>
      <c r="D72" s="62" t="s">
        <v>377</v>
      </c>
      <c r="E72" s="10" t="s">
        <v>39</v>
      </c>
      <c r="F72" s="84">
        <f>SUMIF('[1]POOL-joueus'!$D$5:$D$808,C72,'[1]POOL-joueus'!$E$5:$E$808)</f>
        <v>62</v>
      </c>
      <c r="G72" s="84">
        <f>SUMIF('[1]POOL-joueus'!$D$5:$D$808,C72,'[1]POOL-joueus'!$F$5:F$808)</f>
        <v>20</v>
      </c>
      <c r="H72" s="84">
        <f>SUMIF('[1]POOL-joueus'!$D$5:$D$808,C72,'[1]POOL-joueus'!$G$5:G$808)</f>
        <v>27</v>
      </c>
      <c r="I72" s="90">
        <f t="shared" si="2"/>
        <v>47</v>
      </c>
      <c r="J72" s="85">
        <f t="shared" si="3"/>
        <v>0.7580645161290323</v>
      </c>
      <c r="K72" s="30">
        <f>SUMIF('[1]Pool-gardien'!$D$5:$D$127,C72,'[1]Pool-gardien'!$F$5:$F$127)</f>
        <v>0</v>
      </c>
      <c r="L72" s="30">
        <f>SUMIF('[1]Pool-gardien'!$D$5:$D$127,C72,'[1]Pool-gardien'!$G$5:$G$127)</f>
        <v>0</v>
      </c>
      <c r="M72" s="30">
        <f>SUMIF('[1]Pool-gardien'!$D$5:$D$127,C72,'[1]Pool-gardien'!$H$5:$H$127)</f>
        <v>0</v>
      </c>
      <c r="N72" s="91">
        <f>SUMIF('[1]Pool-gardien'!$D$5:$D$127,C72,'[1]Pool-gardien'!$K$5:$K$127)</f>
        <v>0</v>
      </c>
      <c r="O72" s="30">
        <f>SUMIF('[1]Equipes-Pool'!$B$6:$B$35,C72,'[1]Equipes-Pool'!$D$6:$D$35)</f>
        <v>0</v>
      </c>
      <c r="P72" s="30">
        <f>SUMIF('[1]Equipes-Pool'!$B$6:$B$35,C72,'[1]Equipes-Pool'!$E$6:$E$35)</f>
        <v>0</v>
      </c>
      <c r="Q72" s="30">
        <f>SUMIF('[1]Equipes-Pool'!$B$6:$B$35,C72,'[1]Equipes-Pool'!$F$6:$F$35)</f>
        <v>0</v>
      </c>
      <c r="R72" s="91">
        <f>SUMIF('[1]Equipes-Pool'!$B$6:$B$35,C72,'[1]Equipes-Pool'!$G$6:$G$35)</f>
        <v>0</v>
      </c>
    </row>
    <row r="73" spans="1:18" ht="15.75">
      <c r="A73" s="20" t="s">
        <v>40</v>
      </c>
      <c r="B73" s="21" t="s">
        <v>17</v>
      </c>
      <c r="C73" s="55" t="s">
        <v>145</v>
      </c>
      <c r="D73" s="62" t="s">
        <v>377</v>
      </c>
      <c r="E73" s="10" t="s">
        <v>45</v>
      </c>
      <c r="F73" s="84">
        <f>SUMIF('[1]POOL-joueus'!$D$5:$D$808,C73,'[1]POOL-joueus'!$E$5:$E$808)</f>
        <v>64</v>
      </c>
      <c r="G73" s="84">
        <f>SUMIF('[1]POOL-joueus'!$D$5:$D$808,C73,'[1]POOL-joueus'!$F$5:F$808)</f>
        <v>36</v>
      </c>
      <c r="H73" s="84">
        <f>SUMIF('[1]POOL-joueus'!$D$5:$D$808,C73,'[1]POOL-joueus'!$G$5:G$808)</f>
        <v>30</v>
      </c>
      <c r="I73" s="90">
        <f t="shared" si="2"/>
        <v>66</v>
      </c>
      <c r="J73" s="85">
        <f t="shared" si="3"/>
        <v>1.03125</v>
      </c>
      <c r="K73" s="30">
        <f>SUMIF('[1]Pool-gardien'!$D$5:$D$127,C73,'[1]Pool-gardien'!$F$5:$F$127)</f>
        <v>0</v>
      </c>
      <c r="L73" s="30">
        <f>SUMIF('[1]Pool-gardien'!$D$5:$D$127,C73,'[1]Pool-gardien'!$G$5:$G$127)</f>
        <v>0</v>
      </c>
      <c r="M73" s="30">
        <f>SUMIF('[1]Pool-gardien'!$D$5:$D$127,C73,'[1]Pool-gardien'!$H$5:$H$127)</f>
        <v>0</v>
      </c>
      <c r="N73" s="91">
        <f>SUMIF('[1]Pool-gardien'!$D$5:$D$127,C73,'[1]Pool-gardien'!$K$5:$K$127)</f>
        <v>0</v>
      </c>
      <c r="O73" s="30">
        <f>SUMIF('[1]Equipes-Pool'!$B$6:$B$35,C73,'[1]Equipes-Pool'!$D$6:$D$35)</f>
        <v>0</v>
      </c>
      <c r="P73" s="30">
        <f>SUMIF('[1]Equipes-Pool'!$B$6:$B$35,C73,'[1]Equipes-Pool'!$E$6:$E$35)</f>
        <v>0</v>
      </c>
      <c r="Q73" s="30">
        <f>SUMIF('[1]Equipes-Pool'!$B$6:$B$35,C73,'[1]Equipes-Pool'!$F$6:$F$35)</f>
        <v>0</v>
      </c>
      <c r="R73" s="91">
        <f>SUMIF('[1]Equipes-Pool'!$B$6:$B$35,C73,'[1]Equipes-Pool'!$G$6:$G$35)</f>
        <v>0</v>
      </c>
    </row>
    <row r="74" spans="1:18" ht="15.75">
      <c r="A74" s="20" t="s">
        <v>12</v>
      </c>
      <c r="B74" s="21" t="s">
        <v>120</v>
      </c>
      <c r="C74" s="55" t="s">
        <v>147</v>
      </c>
      <c r="D74" s="62" t="s">
        <v>377</v>
      </c>
      <c r="E74" s="10" t="s">
        <v>49</v>
      </c>
      <c r="F74" s="84">
        <f>SUMIF('[1]POOL-joueus'!$D$5:$D$808,C74,'[1]POOL-joueus'!$E$5:$E$808)</f>
        <v>63</v>
      </c>
      <c r="G74" s="84">
        <f>SUMIF('[1]POOL-joueus'!$D$5:$D$808,C74,'[1]POOL-joueus'!$F$5:F$808)</f>
        <v>19</v>
      </c>
      <c r="H74" s="84">
        <f>SUMIF('[1]POOL-joueus'!$D$5:$D$808,C74,'[1]POOL-joueus'!$G$5:G$808)</f>
        <v>22</v>
      </c>
      <c r="I74" s="90">
        <f t="shared" si="2"/>
        <v>41</v>
      </c>
      <c r="J74" s="85">
        <f t="shared" si="3"/>
        <v>0.6507936507936508</v>
      </c>
      <c r="K74" s="30">
        <f>SUMIF('[1]Pool-gardien'!$D$5:$D$127,C74,'[1]Pool-gardien'!$F$5:$F$127)</f>
        <v>0</v>
      </c>
      <c r="L74" s="30">
        <f>SUMIF('[1]Pool-gardien'!$D$5:$D$127,C74,'[1]Pool-gardien'!$G$5:$G$127)</f>
        <v>0</v>
      </c>
      <c r="M74" s="30">
        <f>SUMIF('[1]Pool-gardien'!$D$5:$D$127,C74,'[1]Pool-gardien'!$H$5:$H$127)</f>
        <v>0</v>
      </c>
      <c r="N74" s="91">
        <f>SUMIF('[1]Pool-gardien'!$D$5:$D$127,C74,'[1]Pool-gardien'!$K$5:$K$127)</f>
        <v>0</v>
      </c>
      <c r="O74" s="30">
        <f>SUMIF('[1]Equipes-Pool'!$B$6:$B$35,C74,'[1]Equipes-Pool'!$D$6:$D$35)</f>
        <v>0</v>
      </c>
      <c r="P74" s="30">
        <f>SUMIF('[1]Equipes-Pool'!$B$6:$B$35,C74,'[1]Equipes-Pool'!$E$6:$E$35)</f>
        <v>0</v>
      </c>
      <c r="Q74" s="30">
        <f>SUMIF('[1]Equipes-Pool'!$B$6:$B$35,C74,'[1]Equipes-Pool'!$F$6:$F$35)</f>
        <v>0</v>
      </c>
      <c r="R74" s="91">
        <f>SUMIF('[1]Equipes-Pool'!$B$6:$B$35,C74,'[1]Equipes-Pool'!$G$6:$G$35)</f>
        <v>0</v>
      </c>
    </row>
    <row r="75" spans="1:18" ht="15.75">
      <c r="A75" s="12" t="s">
        <v>12</v>
      </c>
      <c r="B75" s="14" t="s">
        <v>91</v>
      </c>
      <c r="C75" s="55" t="s">
        <v>149</v>
      </c>
      <c r="D75" s="62" t="s">
        <v>377</v>
      </c>
      <c r="E75" s="10" t="s">
        <v>27</v>
      </c>
      <c r="F75" s="84">
        <f>SUMIF('[1]POOL-joueus'!$D$5:$D$808,C75,'[1]POOL-joueus'!$E$5:$E$808)</f>
        <v>63</v>
      </c>
      <c r="G75" s="84">
        <f>SUMIF('[1]POOL-joueus'!$D$5:$D$808,C75,'[1]POOL-joueus'!$F$5:F$808)</f>
        <v>14</v>
      </c>
      <c r="H75" s="84">
        <f>SUMIF('[1]POOL-joueus'!$D$5:$D$808,C75,'[1]POOL-joueus'!$G$5:G$808)</f>
        <v>15</v>
      </c>
      <c r="I75" s="90">
        <f t="shared" si="2"/>
        <v>29</v>
      </c>
      <c r="J75" s="85">
        <f t="shared" si="3"/>
        <v>0.4603174603174603</v>
      </c>
      <c r="K75" s="30">
        <f>SUMIF('[1]Pool-gardien'!$D$5:$D$127,C75,'[1]Pool-gardien'!$F$5:$F$127)</f>
        <v>0</v>
      </c>
      <c r="L75" s="30">
        <f>SUMIF('[1]Pool-gardien'!$D$5:$D$127,C75,'[1]Pool-gardien'!$G$5:$G$127)</f>
        <v>0</v>
      </c>
      <c r="M75" s="30">
        <f>SUMIF('[1]Pool-gardien'!$D$5:$D$127,C75,'[1]Pool-gardien'!$H$5:$H$127)</f>
        <v>0</v>
      </c>
      <c r="N75" s="91">
        <f>SUMIF('[1]Pool-gardien'!$D$5:$D$127,C75,'[1]Pool-gardien'!$K$5:$K$127)</f>
        <v>0</v>
      </c>
      <c r="O75" s="30">
        <f>SUMIF('[1]Equipes-Pool'!$B$6:$B$35,C75,'[1]Equipes-Pool'!$D$6:$D$35)</f>
        <v>0</v>
      </c>
      <c r="P75" s="30">
        <f>SUMIF('[1]Equipes-Pool'!$B$6:$B$35,C75,'[1]Equipes-Pool'!$E$6:$E$35)</f>
        <v>0</v>
      </c>
      <c r="Q75" s="30">
        <f>SUMIF('[1]Equipes-Pool'!$B$6:$B$35,C75,'[1]Equipes-Pool'!$F$6:$F$35)</f>
        <v>0</v>
      </c>
      <c r="R75" s="91">
        <f>SUMIF('[1]Equipes-Pool'!$B$6:$B$35,C75,'[1]Equipes-Pool'!$G$6:$G$35)</f>
        <v>0</v>
      </c>
    </row>
    <row r="76" spans="1:18" ht="15.75">
      <c r="A76" s="12" t="s">
        <v>40</v>
      </c>
      <c r="B76" s="14" t="s">
        <v>25</v>
      </c>
      <c r="C76" s="55" t="s">
        <v>151</v>
      </c>
      <c r="D76" s="62" t="s">
        <v>377</v>
      </c>
      <c r="E76" s="10" t="s">
        <v>60</v>
      </c>
      <c r="F76" s="84">
        <f>SUMIF('[1]POOL-joueus'!$D$5:$D$808,C76,'[1]POOL-joueus'!$E$5:$E$808)</f>
        <v>48</v>
      </c>
      <c r="G76" s="84">
        <f>SUMIF('[1]POOL-joueus'!$D$5:$D$808,C76,'[1]POOL-joueus'!$F$5:F$808)</f>
        <v>9</v>
      </c>
      <c r="H76" s="84">
        <f>SUMIF('[1]POOL-joueus'!$D$5:$D$808,C76,'[1]POOL-joueus'!$G$5:G$808)</f>
        <v>16</v>
      </c>
      <c r="I76" s="90">
        <f t="shared" si="2"/>
        <v>25</v>
      </c>
      <c r="J76" s="85">
        <f t="shared" si="3"/>
        <v>0.5208333333333334</v>
      </c>
      <c r="K76" s="30">
        <f>SUMIF('[1]Pool-gardien'!$D$5:$D$127,C76,'[1]Pool-gardien'!$F$5:$F$127)</f>
        <v>0</v>
      </c>
      <c r="L76" s="30">
        <f>SUMIF('[1]Pool-gardien'!$D$5:$D$127,C76,'[1]Pool-gardien'!$G$5:$G$127)</f>
        <v>0</v>
      </c>
      <c r="M76" s="30">
        <f>SUMIF('[1]Pool-gardien'!$D$5:$D$127,C76,'[1]Pool-gardien'!$H$5:$H$127)</f>
        <v>0</v>
      </c>
      <c r="N76" s="91">
        <f>SUMIF('[1]Pool-gardien'!$D$5:$D$127,C76,'[1]Pool-gardien'!$K$5:$K$127)</f>
        <v>0</v>
      </c>
      <c r="O76" s="30">
        <f>SUMIF('[1]Equipes-Pool'!$B$6:$B$35,C76,'[1]Equipes-Pool'!$D$6:$D$35)</f>
        <v>0</v>
      </c>
      <c r="P76" s="30">
        <f>SUMIF('[1]Equipes-Pool'!$B$6:$B$35,C76,'[1]Equipes-Pool'!$E$6:$E$35)</f>
        <v>0</v>
      </c>
      <c r="Q76" s="30">
        <f>SUMIF('[1]Equipes-Pool'!$B$6:$B$35,C76,'[1]Equipes-Pool'!$F$6:$F$35)</f>
        <v>0</v>
      </c>
      <c r="R76" s="91">
        <f>SUMIF('[1]Equipes-Pool'!$B$6:$B$35,C76,'[1]Equipes-Pool'!$G$6:$G$35)</f>
        <v>0</v>
      </c>
    </row>
    <row r="77" spans="1:18" ht="16.5" thickBot="1">
      <c r="A77" s="49" t="s">
        <v>12</v>
      </c>
      <c r="B77" s="50" t="s">
        <v>10</v>
      </c>
      <c r="C77" s="66" t="s">
        <v>153</v>
      </c>
      <c r="D77" s="64" t="s">
        <v>377</v>
      </c>
      <c r="E77" s="59" t="s">
        <v>65</v>
      </c>
      <c r="F77" s="96">
        <f>SUMIF('[1]POOL-joueus'!$D$5:$D$808,C77,'[1]POOL-joueus'!$E$5:$E$808)</f>
        <v>56</v>
      </c>
      <c r="G77" s="96">
        <f>SUMIF('[1]POOL-joueus'!$D$5:$D$808,C77,'[1]POOL-joueus'!$F$5:F$808)</f>
        <v>23</v>
      </c>
      <c r="H77" s="96">
        <f>SUMIF('[1]POOL-joueus'!$D$5:$D$808,C77,'[1]POOL-joueus'!$G$5:G$808)</f>
        <v>15</v>
      </c>
      <c r="I77" s="97">
        <f t="shared" si="2"/>
        <v>38</v>
      </c>
      <c r="J77" s="98">
        <f t="shared" si="3"/>
        <v>0.6785714285714286</v>
      </c>
      <c r="K77" s="99">
        <f>SUMIF('[1]Pool-gardien'!$D$5:$D$127,C77,'[1]Pool-gardien'!$F$5:$F$127)</f>
        <v>0</v>
      </c>
      <c r="L77" s="99">
        <f>SUMIF('[1]Pool-gardien'!$D$5:$D$127,C77,'[1]Pool-gardien'!$G$5:$G$127)</f>
        <v>0</v>
      </c>
      <c r="M77" s="99">
        <f>SUMIF('[1]Pool-gardien'!$D$5:$D$127,C77,'[1]Pool-gardien'!$H$5:$H$127)</f>
        <v>0</v>
      </c>
      <c r="N77" s="100">
        <f>SUMIF('[1]Pool-gardien'!$D$5:$D$127,C77,'[1]Pool-gardien'!$K$5:$K$127)</f>
        <v>0</v>
      </c>
      <c r="O77" s="99">
        <f>SUMIF('[1]Equipes-Pool'!$B$6:$B$35,C77,'[1]Equipes-Pool'!$D$6:$D$35)</f>
        <v>0</v>
      </c>
      <c r="P77" s="99">
        <f>SUMIF('[1]Equipes-Pool'!$B$6:$B$35,C77,'[1]Equipes-Pool'!$E$6:$E$35)</f>
        <v>0</v>
      </c>
      <c r="Q77" s="99">
        <f>SUMIF('[1]Equipes-Pool'!$B$6:$B$35,C77,'[1]Equipes-Pool'!$F$6:$F$35)</f>
        <v>0</v>
      </c>
      <c r="R77" s="100">
        <f>SUMIF('[1]Equipes-Pool'!$B$6:$B$35,C77,'[1]Equipes-Pool'!$G$6:$G$35)</f>
        <v>0</v>
      </c>
    </row>
    <row r="78" spans="1:18" ht="15.75">
      <c r="A78" s="20" t="s">
        <v>12</v>
      </c>
      <c r="B78" s="21" t="s">
        <v>84</v>
      </c>
      <c r="C78" s="67" t="s">
        <v>133</v>
      </c>
      <c r="D78" s="63" t="s">
        <v>378</v>
      </c>
      <c r="E78" s="65" t="s">
        <v>8</v>
      </c>
      <c r="F78" s="40">
        <f>SUMIF('[1]POOL-joueus'!$D$5:$D$808,C78,'[1]POOL-joueus'!$E$5:$E$808)</f>
        <v>66</v>
      </c>
      <c r="G78" s="40">
        <f>SUMIF('[1]POOL-joueus'!$D$5:$D$808,C78,'[1]POOL-joueus'!$F$5:F$808)</f>
        <v>24</v>
      </c>
      <c r="H78" s="40">
        <f>SUMIF('[1]POOL-joueus'!$D$5:$D$808,C78,'[1]POOL-joueus'!$G$5:G$808)</f>
        <v>32</v>
      </c>
      <c r="I78" s="94">
        <f t="shared" si="2"/>
        <v>56</v>
      </c>
      <c r="J78" s="95">
        <f t="shared" si="3"/>
        <v>0.8484848484848485</v>
      </c>
      <c r="K78" s="35">
        <f>SUMIF('[1]Pool-gardien'!$D$5:$D$127,C78,'[1]Pool-gardien'!$F$5:$F$127)</f>
        <v>0</v>
      </c>
      <c r="L78" s="35">
        <f>SUMIF('[1]Pool-gardien'!$D$5:$D$127,C78,'[1]Pool-gardien'!$G$5:$G$127)</f>
        <v>0</v>
      </c>
      <c r="M78" s="35">
        <f>SUMIF('[1]Pool-gardien'!$D$5:$D$127,C78,'[1]Pool-gardien'!$H$5:$H$127)</f>
        <v>0</v>
      </c>
      <c r="N78" s="89">
        <f>SUMIF('[1]Pool-gardien'!$D$5:$D$127,C78,'[1]Pool-gardien'!$K$5:$K$127)</f>
        <v>0</v>
      </c>
      <c r="O78" s="35">
        <f>SUMIF('[1]Equipes-Pool'!$B$6:$B$35,C78,'[1]Equipes-Pool'!$D$6:$D$35)</f>
        <v>0</v>
      </c>
      <c r="P78" s="35">
        <f>SUMIF('[1]Equipes-Pool'!$B$6:$B$35,C78,'[1]Equipes-Pool'!$E$6:$E$35)</f>
        <v>0</v>
      </c>
      <c r="Q78" s="35">
        <f>SUMIF('[1]Equipes-Pool'!$B$6:$B$35,C78,'[1]Equipes-Pool'!$F$6:$F$35)</f>
        <v>0</v>
      </c>
      <c r="R78" s="89">
        <f>SUMIF('[1]Equipes-Pool'!$B$6:$B$35,C78,'[1]Equipes-Pool'!$G$6:$G$35)</f>
        <v>0</v>
      </c>
    </row>
    <row r="79" spans="1:18" ht="15.75">
      <c r="A79" s="12" t="s">
        <v>12</v>
      </c>
      <c r="B79" s="14" t="s">
        <v>89</v>
      </c>
      <c r="C79" s="55" t="s">
        <v>136</v>
      </c>
      <c r="D79" s="62" t="s">
        <v>378</v>
      </c>
      <c r="E79" s="10" t="s">
        <v>16</v>
      </c>
      <c r="F79" s="84">
        <f>SUMIF('[1]POOL-joueus'!$D$5:$D$808,C79,'[1]POOL-joueus'!$E$5:$E$808)</f>
        <v>40</v>
      </c>
      <c r="G79" s="84">
        <f>SUMIF('[1]POOL-joueus'!$D$5:$D$808,C79,'[1]POOL-joueus'!$F$5:F$808)</f>
        <v>14</v>
      </c>
      <c r="H79" s="84">
        <f>SUMIF('[1]POOL-joueus'!$D$5:$D$808,C79,'[1]POOL-joueus'!$G$5:G$808)</f>
        <v>16</v>
      </c>
      <c r="I79" s="90">
        <f t="shared" si="2"/>
        <v>30</v>
      </c>
      <c r="J79" s="85">
        <f t="shared" si="3"/>
        <v>0.75</v>
      </c>
      <c r="K79" s="30">
        <f>SUMIF('[1]Pool-gardien'!$D$5:$D$127,C79,'[1]Pool-gardien'!$F$5:$F$127)</f>
        <v>0</v>
      </c>
      <c r="L79" s="30">
        <f>SUMIF('[1]Pool-gardien'!$D$5:$D$127,C79,'[1]Pool-gardien'!$G$5:$G$127)</f>
        <v>0</v>
      </c>
      <c r="M79" s="30">
        <f>SUMIF('[1]Pool-gardien'!$D$5:$D$127,C79,'[1]Pool-gardien'!$H$5:$H$127)</f>
        <v>0</v>
      </c>
      <c r="N79" s="91">
        <f>SUMIF('[1]Pool-gardien'!$D$5:$D$127,C79,'[1]Pool-gardien'!$K$5:$K$127)</f>
        <v>0</v>
      </c>
      <c r="O79" s="30">
        <f>SUMIF('[1]Equipes-Pool'!$B$6:$B$35,C79,'[1]Equipes-Pool'!$D$6:$D$35)</f>
        <v>0</v>
      </c>
      <c r="P79" s="30">
        <f>SUMIF('[1]Equipes-Pool'!$B$6:$B$35,C79,'[1]Equipes-Pool'!$E$6:$E$35)</f>
        <v>0</v>
      </c>
      <c r="Q79" s="30">
        <f>SUMIF('[1]Equipes-Pool'!$B$6:$B$35,C79,'[1]Equipes-Pool'!$F$6:$F$35)</f>
        <v>0</v>
      </c>
      <c r="R79" s="91">
        <f>SUMIF('[1]Equipes-Pool'!$B$6:$B$35,C79,'[1]Equipes-Pool'!$G$6:$G$35)</f>
        <v>0</v>
      </c>
    </row>
    <row r="80" spans="1:18" ht="15.75">
      <c r="A80" s="20" t="s">
        <v>12</v>
      </c>
      <c r="B80" s="21" t="s">
        <v>111</v>
      </c>
      <c r="C80" s="55" t="s">
        <v>138</v>
      </c>
      <c r="D80" s="62" t="s">
        <v>378</v>
      </c>
      <c r="E80" s="10" t="s">
        <v>23</v>
      </c>
      <c r="F80" s="84">
        <f>SUMIF('[1]POOL-joueus'!$D$5:$D$808,C80,'[1]POOL-joueus'!$E$5:$E$808)</f>
        <v>63</v>
      </c>
      <c r="G80" s="84">
        <f>SUMIF('[1]POOL-joueus'!$D$5:$D$808,C80,'[1]POOL-joueus'!$F$5:F$808)</f>
        <v>14</v>
      </c>
      <c r="H80" s="84">
        <f>SUMIF('[1]POOL-joueus'!$D$5:$D$808,C80,'[1]POOL-joueus'!$G$5:G$808)</f>
        <v>15</v>
      </c>
      <c r="I80" s="90">
        <f t="shared" si="2"/>
        <v>29</v>
      </c>
      <c r="J80" s="85">
        <f t="shared" si="3"/>
        <v>0.4603174603174603</v>
      </c>
      <c r="K80" s="30">
        <f>SUMIF('[1]Pool-gardien'!$D$5:$D$127,C80,'[1]Pool-gardien'!$F$5:$F$127)</f>
        <v>0</v>
      </c>
      <c r="L80" s="30">
        <f>SUMIF('[1]Pool-gardien'!$D$5:$D$127,C80,'[1]Pool-gardien'!$G$5:$G$127)</f>
        <v>0</v>
      </c>
      <c r="M80" s="30">
        <f>SUMIF('[1]Pool-gardien'!$D$5:$D$127,C80,'[1]Pool-gardien'!$H$5:$H$127)</f>
        <v>0</v>
      </c>
      <c r="N80" s="91">
        <f>SUMIF('[1]Pool-gardien'!$D$5:$D$127,C80,'[1]Pool-gardien'!$K$5:$K$127)</f>
        <v>0</v>
      </c>
      <c r="O80" s="30">
        <f>SUMIF('[1]Equipes-Pool'!$B$6:$B$35,C80,'[1]Equipes-Pool'!$D$6:$D$35)</f>
        <v>0</v>
      </c>
      <c r="P80" s="30">
        <f>SUMIF('[1]Equipes-Pool'!$B$6:$B$35,C80,'[1]Equipes-Pool'!$E$6:$E$35)</f>
        <v>0</v>
      </c>
      <c r="Q80" s="30">
        <f>SUMIF('[1]Equipes-Pool'!$B$6:$B$35,C80,'[1]Equipes-Pool'!$F$6:$F$35)</f>
        <v>0</v>
      </c>
      <c r="R80" s="91">
        <f>SUMIF('[1]Equipes-Pool'!$B$6:$B$35,C80,'[1]Equipes-Pool'!$G$6:$G$35)</f>
        <v>0</v>
      </c>
    </row>
    <row r="81" spans="1:18" ht="15.75">
      <c r="A81" s="20" t="s">
        <v>33</v>
      </c>
      <c r="B81" s="21" t="s">
        <v>140</v>
      </c>
      <c r="C81" s="55" t="s">
        <v>141</v>
      </c>
      <c r="D81" s="62" t="s">
        <v>378</v>
      </c>
      <c r="E81" s="10" t="s">
        <v>32</v>
      </c>
      <c r="F81" s="84">
        <f>SUMIF('[1]POOL-joueus'!$D$5:$D$808,C81,'[1]POOL-joueus'!$E$5:$E$808)</f>
        <v>66</v>
      </c>
      <c r="G81" s="84">
        <f>SUMIF('[1]POOL-joueus'!$D$5:$D$808,C81,'[1]POOL-joueus'!$F$5:F$808)</f>
        <v>13</v>
      </c>
      <c r="H81" s="84">
        <f>SUMIF('[1]POOL-joueus'!$D$5:$D$808,C81,'[1]POOL-joueus'!$G$5:G$808)</f>
        <v>25</v>
      </c>
      <c r="I81" s="90">
        <f t="shared" si="2"/>
        <v>38</v>
      </c>
      <c r="J81" s="85">
        <f t="shared" si="3"/>
        <v>0.5757575757575758</v>
      </c>
      <c r="K81" s="30">
        <f>SUMIF('[1]Pool-gardien'!$D$5:$D$127,C81,'[1]Pool-gardien'!$F$5:$F$127)</f>
        <v>0</v>
      </c>
      <c r="L81" s="30">
        <f>SUMIF('[1]Pool-gardien'!$D$5:$D$127,C81,'[1]Pool-gardien'!$G$5:$G$127)</f>
        <v>0</v>
      </c>
      <c r="M81" s="30">
        <f>SUMIF('[1]Pool-gardien'!$D$5:$D$127,C81,'[1]Pool-gardien'!$H$5:$H$127)</f>
        <v>0</v>
      </c>
      <c r="N81" s="91">
        <f>SUMIF('[1]Pool-gardien'!$D$5:$D$127,C81,'[1]Pool-gardien'!$K$5:$K$127)</f>
        <v>0</v>
      </c>
      <c r="O81" s="30">
        <f>SUMIF('[1]Equipes-Pool'!$B$6:$B$35,C81,'[1]Equipes-Pool'!$D$6:$D$35)</f>
        <v>0</v>
      </c>
      <c r="P81" s="30">
        <f>SUMIF('[1]Equipes-Pool'!$B$6:$B$35,C81,'[1]Equipes-Pool'!$E$6:$E$35)</f>
        <v>0</v>
      </c>
      <c r="Q81" s="30">
        <f>SUMIF('[1]Equipes-Pool'!$B$6:$B$35,C81,'[1]Equipes-Pool'!$F$6:$F$35)</f>
        <v>0</v>
      </c>
      <c r="R81" s="91">
        <f>SUMIF('[1]Equipes-Pool'!$B$6:$B$35,C81,'[1]Equipes-Pool'!$G$6:$G$35)</f>
        <v>0</v>
      </c>
    </row>
    <row r="82" spans="1:18" ht="15.75">
      <c r="A82" s="12" t="s">
        <v>12</v>
      </c>
      <c r="B82" s="14" t="s">
        <v>125</v>
      </c>
      <c r="C82" s="55" t="s">
        <v>144</v>
      </c>
      <c r="D82" s="62" t="s">
        <v>378</v>
      </c>
      <c r="E82" s="10" t="s">
        <v>39</v>
      </c>
      <c r="F82" s="84">
        <f>SUMIF('[1]POOL-joueus'!$D$5:$D$808,C82,'[1]POOL-joueus'!$E$5:$E$808)</f>
        <v>66</v>
      </c>
      <c r="G82" s="84">
        <f>SUMIF('[1]POOL-joueus'!$D$5:$D$808,C82,'[1]POOL-joueus'!$F$5:F$808)</f>
        <v>18</v>
      </c>
      <c r="H82" s="84">
        <f>SUMIF('[1]POOL-joueus'!$D$5:$D$808,C82,'[1]POOL-joueus'!$G$5:G$808)</f>
        <v>37</v>
      </c>
      <c r="I82" s="90">
        <f aca="true" t="shared" si="4" ref="I82:I145">SUM(G82:H82)</f>
        <v>55</v>
      </c>
      <c r="J82" s="85">
        <f aca="true" t="shared" si="5" ref="J82:J145">I82/F82</f>
        <v>0.8333333333333334</v>
      </c>
      <c r="K82" s="30">
        <f>SUMIF('[1]Pool-gardien'!$D$5:$D$127,C82,'[1]Pool-gardien'!$F$5:$F$127)</f>
        <v>0</v>
      </c>
      <c r="L82" s="30">
        <f>SUMIF('[1]Pool-gardien'!$D$5:$D$127,C82,'[1]Pool-gardien'!$G$5:$G$127)</f>
        <v>0</v>
      </c>
      <c r="M82" s="30">
        <f>SUMIF('[1]Pool-gardien'!$D$5:$D$127,C82,'[1]Pool-gardien'!$H$5:$H$127)</f>
        <v>0</v>
      </c>
      <c r="N82" s="91">
        <f>SUMIF('[1]Pool-gardien'!$D$5:$D$127,C82,'[1]Pool-gardien'!$K$5:$K$127)</f>
        <v>0</v>
      </c>
      <c r="O82" s="30">
        <f>SUMIF('[1]Equipes-Pool'!$B$6:$B$35,C82,'[1]Equipes-Pool'!$D$6:$D$35)</f>
        <v>0</v>
      </c>
      <c r="P82" s="30">
        <f>SUMIF('[1]Equipes-Pool'!$B$6:$B$35,C82,'[1]Equipes-Pool'!$E$6:$E$35)</f>
        <v>0</v>
      </c>
      <c r="Q82" s="30">
        <f>SUMIF('[1]Equipes-Pool'!$B$6:$B$35,C82,'[1]Equipes-Pool'!$F$6:$F$35)</f>
        <v>0</v>
      </c>
      <c r="R82" s="91">
        <f>SUMIF('[1]Equipes-Pool'!$B$6:$B$35,C82,'[1]Equipes-Pool'!$G$6:$G$35)</f>
        <v>0</v>
      </c>
    </row>
    <row r="83" spans="1:18" ht="15.75">
      <c r="A83" s="12" t="s">
        <v>40</v>
      </c>
      <c r="B83" s="14" t="s">
        <v>20</v>
      </c>
      <c r="C83" s="55" t="s">
        <v>146</v>
      </c>
      <c r="D83" s="62" t="s">
        <v>378</v>
      </c>
      <c r="E83" s="10" t="s">
        <v>45</v>
      </c>
      <c r="F83" s="84">
        <f>SUMIF('[1]POOL-joueus'!$D$5:$D$808,C83,'[1]POOL-joueus'!$E$5:$E$808)</f>
        <v>65</v>
      </c>
      <c r="G83" s="84">
        <f>SUMIF('[1]POOL-joueus'!$D$5:$D$808,C83,'[1]POOL-joueus'!$F$5:F$808)</f>
        <v>16</v>
      </c>
      <c r="H83" s="84">
        <f>SUMIF('[1]POOL-joueus'!$D$5:$D$808,C83,'[1]POOL-joueus'!$G$5:G$808)</f>
        <v>22</v>
      </c>
      <c r="I83" s="90">
        <f t="shared" si="4"/>
        <v>38</v>
      </c>
      <c r="J83" s="85">
        <f t="shared" si="5"/>
        <v>0.5846153846153846</v>
      </c>
      <c r="K83" s="30">
        <f>SUMIF('[1]Pool-gardien'!$D$5:$D$127,C83,'[1]Pool-gardien'!$F$5:$F$127)</f>
        <v>0</v>
      </c>
      <c r="L83" s="30">
        <f>SUMIF('[1]Pool-gardien'!$D$5:$D$127,C83,'[1]Pool-gardien'!$G$5:$G$127)</f>
        <v>0</v>
      </c>
      <c r="M83" s="30">
        <f>SUMIF('[1]Pool-gardien'!$D$5:$D$127,C83,'[1]Pool-gardien'!$H$5:$H$127)</f>
        <v>0</v>
      </c>
      <c r="N83" s="91">
        <f>SUMIF('[1]Pool-gardien'!$D$5:$D$127,C83,'[1]Pool-gardien'!$K$5:$K$127)</f>
        <v>0</v>
      </c>
      <c r="O83" s="30">
        <f>SUMIF('[1]Equipes-Pool'!$B$6:$B$35,C83,'[1]Equipes-Pool'!$D$6:$D$35)</f>
        <v>0</v>
      </c>
      <c r="P83" s="30">
        <f>SUMIF('[1]Equipes-Pool'!$B$6:$B$35,C83,'[1]Equipes-Pool'!$E$6:$E$35)</f>
        <v>0</v>
      </c>
      <c r="Q83" s="30">
        <f>SUMIF('[1]Equipes-Pool'!$B$6:$B$35,C83,'[1]Equipes-Pool'!$F$6:$F$35)</f>
        <v>0</v>
      </c>
      <c r="R83" s="91">
        <f>SUMIF('[1]Equipes-Pool'!$B$6:$B$35,C83,'[1]Equipes-Pool'!$G$6:$G$35)</f>
        <v>0</v>
      </c>
    </row>
    <row r="84" spans="1:18" ht="15.75">
      <c r="A84" s="12" t="s">
        <v>33</v>
      </c>
      <c r="B84" s="14" t="s">
        <v>91</v>
      </c>
      <c r="C84" s="55" t="s">
        <v>148</v>
      </c>
      <c r="D84" s="62" t="s">
        <v>378</v>
      </c>
      <c r="E84" s="10" t="s">
        <v>52</v>
      </c>
      <c r="F84" s="84">
        <f>SUMIF('[1]POOL-joueus'!$D$5:$D$808,C84,'[1]POOL-joueus'!$E$5:$E$808)</f>
        <v>55</v>
      </c>
      <c r="G84" s="84">
        <f>SUMIF('[1]POOL-joueus'!$D$5:$D$808,C84,'[1]POOL-joueus'!$F$5:F$808)</f>
        <v>11</v>
      </c>
      <c r="H84" s="84">
        <f>SUMIF('[1]POOL-joueus'!$D$5:$D$808,C84,'[1]POOL-joueus'!$G$5:G$808)</f>
        <v>24</v>
      </c>
      <c r="I84" s="90">
        <f t="shared" si="4"/>
        <v>35</v>
      </c>
      <c r="J84" s="85">
        <f t="shared" si="5"/>
        <v>0.6363636363636364</v>
      </c>
      <c r="K84" s="30">
        <f>SUMIF('[1]Pool-gardien'!$D$5:$D$127,C84,'[1]Pool-gardien'!$F$5:$F$127)</f>
        <v>0</v>
      </c>
      <c r="L84" s="30">
        <f>SUMIF('[1]Pool-gardien'!$D$5:$D$127,C84,'[1]Pool-gardien'!$G$5:$G$127)</f>
        <v>0</v>
      </c>
      <c r="M84" s="30">
        <f>SUMIF('[1]Pool-gardien'!$D$5:$D$127,C84,'[1]Pool-gardien'!$H$5:$H$127)</f>
        <v>0</v>
      </c>
      <c r="N84" s="91">
        <f>SUMIF('[1]Pool-gardien'!$D$5:$D$127,C84,'[1]Pool-gardien'!$K$5:$K$127)</f>
        <v>0</v>
      </c>
      <c r="O84" s="30">
        <f>SUMIF('[1]Equipes-Pool'!$B$6:$B$35,C84,'[1]Equipes-Pool'!$D$6:$D$35)</f>
        <v>0</v>
      </c>
      <c r="P84" s="30">
        <f>SUMIF('[1]Equipes-Pool'!$B$6:$B$35,C84,'[1]Equipes-Pool'!$E$6:$E$35)</f>
        <v>0</v>
      </c>
      <c r="Q84" s="30">
        <f>SUMIF('[1]Equipes-Pool'!$B$6:$B$35,C84,'[1]Equipes-Pool'!$F$6:$F$35)</f>
        <v>0</v>
      </c>
      <c r="R84" s="91">
        <f>SUMIF('[1]Equipes-Pool'!$B$6:$B$35,C84,'[1]Equipes-Pool'!$G$6:$G$35)</f>
        <v>0</v>
      </c>
    </row>
    <row r="85" spans="1:18" ht="15.75">
      <c r="A85" s="12" t="s">
        <v>40</v>
      </c>
      <c r="B85" s="14" t="s">
        <v>97</v>
      </c>
      <c r="C85" s="55" t="s">
        <v>150</v>
      </c>
      <c r="D85" s="62" t="s">
        <v>378</v>
      </c>
      <c r="E85" s="10" t="s">
        <v>27</v>
      </c>
      <c r="F85" s="84">
        <f>SUMIF('[1]POOL-joueus'!$D$5:$D$808,C85,'[1]POOL-joueus'!$E$5:$E$808)</f>
        <v>65</v>
      </c>
      <c r="G85" s="84">
        <f>SUMIF('[1]POOL-joueus'!$D$5:$D$808,C85,'[1]POOL-joueus'!$F$5:F$808)</f>
        <v>17</v>
      </c>
      <c r="H85" s="84">
        <f>SUMIF('[1]POOL-joueus'!$D$5:$D$808,C85,'[1]POOL-joueus'!$G$5:G$808)</f>
        <v>41</v>
      </c>
      <c r="I85" s="90">
        <f t="shared" si="4"/>
        <v>58</v>
      </c>
      <c r="J85" s="85">
        <f t="shared" si="5"/>
        <v>0.8923076923076924</v>
      </c>
      <c r="K85" s="30">
        <f>SUMIF('[1]Pool-gardien'!$D$5:$D$127,C85,'[1]Pool-gardien'!$F$5:$F$127)</f>
        <v>0</v>
      </c>
      <c r="L85" s="30">
        <f>SUMIF('[1]Pool-gardien'!$D$5:$D$127,C85,'[1]Pool-gardien'!$G$5:$G$127)</f>
        <v>0</v>
      </c>
      <c r="M85" s="30">
        <f>SUMIF('[1]Pool-gardien'!$D$5:$D$127,C85,'[1]Pool-gardien'!$H$5:$H$127)</f>
        <v>0</v>
      </c>
      <c r="N85" s="91">
        <f>SUMIF('[1]Pool-gardien'!$D$5:$D$127,C85,'[1]Pool-gardien'!$K$5:$K$127)</f>
        <v>0</v>
      </c>
      <c r="O85" s="30">
        <f>SUMIF('[1]Equipes-Pool'!$B$6:$B$35,C85,'[1]Equipes-Pool'!$D$6:$D$35)</f>
        <v>0</v>
      </c>
      <c r="P85" s="30">
        <f>SUMIF('[1]Equipes-Pool'!$B$6:$B$35,C85,'[1]Equipes-Pool'!$E$6:$E$35)</f>
        <v>0</v>
      </c>
      <c r="Q85" s="30">
        <f>SUMIF('[1]Equipes-Pool'!$B$6:$B$35,C85,'[1]Equipes-Pool'!$F$6:$F$35)</f>
        <v>0</v>
      </c>
      <c r="R85" s="91">
        <f>SUMIF('[1]Equipes-Pool'!$B$6:$B$35,C85,'[1]Equipes-Pool'!$G$6:$G$35)</f>
        <v>0</v>
      </c>
    </row>
    <row r="86" spans="1:18" ht="15.75">
      <c r="A86" s="12" t="s">
        <v>33</v>
      </c>
      <c r="B86" s="14" t="s">
        <v>120</v>
      </c>
      <c r="C86" s="55" t="s">
        <v>152</v>
      </c>
      <c r="D86" s="62" t="s">
        <v>378</v>
      </c>
      <c r="E86" s="10" t="s">
        <v>62</v>
      </c>
      <c r="F86" s="84">
        <f>SUMIF('[1]POOL-joueus'!$D$5:$D$808,C86,'[1]POOL-joueus'!$E$5:$E$808)</f>
        <v>64</v>
      </c>
      <c r="G86" s="84">
        <f>SUMIF('[1]POOL-joueus'!$D$5:$D$808,C86,'[1]POOL-joueus'!$F$5:F$808)</f>
        <v>7</v>
      </c>
      <c r="H86" s="84">
        <f>SUMIF('[1]POOL-joueus'!$D$5:$D$808,C86,'[1]POOL-joueus'!$G$5:G$808)</f>
        <v>26</v>
      </c>
      <c r="I86" s="90">
        <f t="shared" si="4"/>
        <v>33</v>
      </c>
      <c r="J86" s="85">
        <f t="shared" si="5"/>
        <v>0.515625</v>
      </c>
      <c r="K86" s="30">
        <f>SUMIF('[1]Pool-gardien'!$D$5:$D$127,C86,'[1]Pool-gardien'!$F$5:$F$127)</f>
        <v>0</v>
      </c>
      <c r="L86" s="30">
        <f>SUMIF('[1]Pool-gardien'!$D$5:$D$127,C86,'[1]Pool-gardien'!$G$5:$G$127)</f>
        <v>0</v>
      </c>
      <c r="M86" s="30">
        <f>SUMIF('[1]Pool-gardien'!$D$5:$D$127,C86,'[1]Pool-gardien'!$H$5:$H$127)</f>
        <v>0</v>
      </c>
      <c r="N86" s="91">
        <f>SUMIF('[1]Pool-gardien'!$D$5:$D$127,C86,'[1]Pool-gardien'!$K$5:$K$127)</f>
        <v>0</v>
      </c>
      <c r="O86" s="30">
        <f>SUMIF('[1]Equipes-Pool'!$B$6:$B$35,C86,'[1]Equipes-Pool'!$D$6:$D$35)</f>
        <v>0</v>
      </c>
      <c r="P86" s="30">
        <f>SUMIF('[1]Equipes-Pool'!$B$6:$B$35,C86,'[1]Equipes-Pool'!$E$6:$E$35)</f>
        <v>0</v>
      </c>
      <c r="Q86" s="30">
        <f>SUMIF('[1]Equipes-Pool'!$B$6:$B$35,C86,'[1]Equipes-Pool'!$F$6:$F$35)</f>
        <v>0</v>
      </c>
      <c r="R86" s="91">
        <f>SUMIF('[1]Equipes-Pool'!$B$6:$B$35,C86,'[1]Equipes-Pool'!$G$6:$G$35)</f>
        <v>0</v>
      </c>
    </row>
    <row r="87" spans="1:18" ht="16.5" thickBot="1">
      <c r="A87" s="49" t="s">
        <v>33</v>
      </c>
      <c r="B87" s="50" t="s">
        <v>154</v>
      </c>
      <c r="C87" s="66" t="s">
        <v>155</v>
      </c>
      <c r="D87" s="64" t="s">
        <v>378</v>
      </c>
      <c r="E87" s="59" t="s">
        <v>65</v>
      </c>
      <c r="F87" s="96">
        <f>SUMIF('[1]POOL-joueus'!$D$5:$D$808,C87,'[1]POOL-joueus'!$E$5:$E$808)</f>
        <v>56</v>
      </c>
      <c r="G87" s="96">
        <f>SUMIF('[1]POOL-joueus'!$D$5:$D$808,C87,'[1]POOL-joueus'!$F$5:F$808)</f>
        <v>2</v>
      </c>
      <c r="H87" s="96">
        <f>SUMIF('[1]POOL-joueus'!$D$5:$D$808,C87,'[1]POOL-joueus'!$G$5:G$808)</f>
        <v>28</v>
      </c>
      <c r="I87" s="97">
        <f t="shared" si="4"/>
        <v>30</v>
      </c>
      <c r="J87" s="98">
        <f t="shared" si="5"/>
        <v>0.5357142857142857</v>
      </c>
      <c r="K87" s="99">
        <f>SUMIF('[1]Pool-gardien'!$D$5:$D$127,C87,'[1]Pool-gardien'!$F$5:$F$127)</f>
        <v>0</v>
      </c>
      <c r="L87" s="99">
        <f>SUMIF('[1]Pool-gardien'!$D$5:$D$127,C87,'[1]Pool-gardien'!$G$5:$G$127)</f>
        <v>0</v>
      </c>
      <c r="M87" s="99">
        <f>SUMIF('[1]Pool-gardien'!$D$5:$D$127,C87,'[1]Pool-gardien'!$H$5:$H$127)</f>
        <v>0</v>
      </c>
      <c r="N87" s="100">
        <f>SUMIF('[1]Pool-gardien'!$D$5:$D$127,C87,'[1]Pool-gardien'!$K$5:$K$127)</f>
        <v>0</v>
      </c>
      <c r="O87" s="99">
        <f>SUMIF('[1]Equipes-Pool'!$B$6:$B$35,C87,'[1]Equipes-Pool'!$D$6:$D$35)</f>
        <v>0</v>
      </c>
      <c r="P87" s="99">
        <f>SUMIF('[1]Equipes-Pool'!$B$6:$B$35,C87,'[1]Equipes-Pool'!$E$6:$E$35)</f>
        <v>0</v>
      </c>
      <c r="Q87" s="99">
        <f>SUMIF('[1]Equipes-Pool'!$B$6:$B$35,C87,'[1]Equipes-Pool'!$F$6:$F$35)</f>
        <v>0</v>
      </c>
      <c r="R87" s="100">
        <f>SUMIF('[1]Equipes-Pool'!$B$6:$B$35,C87,'[1]Equipes-Pool'!$G$6:$G$35)</f>
        <v>0</v>
      </c>
    </row>
    <row r="88" spans="1:18" ht="15.75">
      <c r="A88" s="20" t="s">
        <v>33</v>
      </c>
      <c r="B88" s="21" t="s">
        <v>140</v>
      </c>
      <c r="C88" s="67" t="s">
        <v>158</v>
      </c>
      <c r="D88" s="63" t="s">
        <v>379</v>
      </c>
      <c r="E88" s="65" t="s">
        <v>8</v>
      </c>
      <c r="F88" s="40">
        <f>SUMIF('[1]POOL-joueus'!$D$5:$D$808,C88,'[1]POOL-joueus'!$E$5:$E$808)</f>
        <v>27</v>
      </c>
      <c r="G88" s="40">
        <f>SUMIF('[1]POOL-joueus'!$D$5:$D$808,C88,'[1]POOL-joueus'!$F$5:F$808)</f>
        <v>3</v>
      </c>
      <c r="H88" s="40">
        <f>SUMIF('[1]POOL-joueus'!$D$5:$D$808,C88,'[1]POOL-joueus'!$G$5:G$808)</f>
        <v>8</v>
      </c>
      <c r="I88" s="94">
        <f t="shared" si="4"/>
        <v>11</v>
      </c>
      <c r="J88" s="95">
        <f t="shared" si="5"/>
        <v>0.4074074074074074</v>
      </c>
      <c r="K88" s="35">
        <f>SUMIF('[1]Pool-gardien'!$D$5:$D$127,C88,'[1]Pool-gardien'!$F$5:$F$127)</f>
        <v>0</v>
      </c>
      <c r="L88" s="35">
        <f>SUMIF('[1]Pool-gardien'!$D$5:$D$127,C88,'[1]Pool-gardien'!$G$5:$G$127)</f>
        <v>0</v>
      </c>
      <c r="M88" s="35">
        <f>SUMIF('[1]Pool-gardien'!$D$5:$D$127,C88,'[1]Pool-gardien'!$H$5:$H$127)</f>
        <v>0</v>
      </c>
      <c r="N88" s="89">
        <f>SUMIF('[1]Pool-gardien'!$D$5:$D$127,C88,'[1]Pool-gardien'!$K$5:$K$127)</f>
        <v>0</v>
      </c>
      <c r="O88" s="35">
        <f>SUMIF('[1]Equipes-Pool'!$B$6:$B$35,C88,'[1]Equipes-Pool'!$D$6:$D$35)</f>
        <v>0</v>
      </c>
      <c r="P88" s="35">
        <f>SUMIF('[1]Equipes-Pool'!$B$6:$B$35,C88,'[1]Equipes-Pool'!$E$6:$E$35)</f>
        <v>0</v>
      </c>
      <c r="Q88" s="35">
        <f>SUMIF('[1]Equipes-Pool'!$B$6:$B$35,C88,'[1]Equipes-Pool'!$F$6:$F$35)</f>
        <v>0</v>
      </c>
      <c r="R88" s="89">
        <f>SUMIF('[1]Equipes-Pool'!$B$6:$B$35,C88,'[1]Equipes-Pool'!$G$6:$G$35)</f>
        <v>0</v>
      </c>
    </row>
    <row r="89" spans="1:18" ht="15.75">
      <c r="A89" s="12" t="s">
        <v>12</v>
      </c>
      <c r="B89" s="14" t="s">
        <v>120</v>
      </c>
      <c r="C89" s="55" t="s">
        <v>160</v>
      </c>
      <c r="D89" s="62" t="s">
        <v>379</v>
      </c>
      <c r="E89" s="10" t="s">
        <v>16</v>
      </c>
      <c r="F89" s="84">
        <f>SUMIF('[1]POOL-joueus'!$D$5:$D$808,C89,'[1]POOL-joueus'!$E$5:$E$808)</f>
        <v>54</v>
      </c>
      <c r="G89" s="84">
        <f>SUMIF('[1]POOL-joueus'!$D$5:$D$808,C89,'[1]POOL-joueus'!$F$5:F$808)</f>
        <v>8</v>
      </c>
      <c r="H89" s="84">
        <f>SUMIF('[1]POOL-joueus'!$D$5:$D$808,C89,'[1]POOL-joueus'!$G$5:G$808)</f>
        <v>12</v>
      </c>
      <c r="I89" s="90">
        <f t="shared" si="4"/>
        <v>20</v>
      </c>
      <c r="J89" s="85">
        <f t="shared" si="5"/>
        <v>0.37037037037037035</v>
      </c>
      <c r="K89" s="30">
        <f>SUMIF('[1]Pool-gardien'!$D$5:$D$127,C89,'[1]Pool-gardien'!$F$5:$F$127)</f>
        <v>0</v>
      </c>
      <c r="L89" s="30">
        <f>SUMIF('[1]Pool-gardien'!$D$5:$D$127,C89,'[1]Pool-gardien'!$G$5:$G$127)</f>
        <v>0</v>
      </c>
      <c r="M89" s="30">
        <f>SUMIF('[1]Pool-gardien'!$D$5:$D$127,C89,'[1]Pool-gardien'!$H$5:$H$127)</f>
        <v>0</v>
      </c>
      <c r="N89" s="91">
        <f>SUMIF('[1]Pool-gardien'!$D$5:$D$127,C89,'[1]Pool-gardien'!$K$5:$K$127)</f>
        <v>0</v>
      </c>
      <c r="O89" s="30">
        <f>SUMIF('[1]Equipes-Pool'!$B$6:$B$35,C89,'[1]Equipes-Pool'!$D$6:$D$35)</f>
        <v>0</v>
      </c>
      <c r="P89" s="30">
        <f>SUMIF('[1]Equipes-Pool'!$B$6:$B$35,C89,'[1]Equipes-Pool'!$E$6:$E$35)</f>
        <v>0</v>
      </c>
      <c r="Q89" s="30">
        <f>SUMIF('[1]Equipes-Pool'!$B$6:$B$35,C89,'[1]Equipes-Pool'!$F$6:$F$35)</f>
        <v>0</v>
      </c>
      <c r="R89" s="91">
        <f>SUMIF('[1]Equipes-Pool'!$B$6:$B$35,C89,'[1]Equipes-Pool'!$G$6:$G$35)</f>
        <v>0</v>
      </c>
    </row>
    <row r="90" spans="1:18" ht="15.75">
      <c r="A90" s="12" t="s">
        <v>33</v>
      </c>
      <c r="B90" s="14" t="s">
        <v>78</v>
      </c>
      <c r="C90" s="55" t="s">
        <v>162</v>
      </c>
      <c r="D90" s="62" t="s">
        <v>379</v>
      </c>
      <c r="E90" s="10" t="s">
        <v>23</v>
      </c>
      <c r="F90" s="84">
        <f>SUMIF('[1]POOL-joueus'!$D$5:$D$808,C90,'[1]POOL-joueus'!$E$5:$E$808)</f>
        <v>64</v>
      </c>
      <c r="G90" s="84">
        <f>SUMIF('[1]POOL-joueus'!$D$5:$D$808,C90,'[1]POOL-joueus'!$F$5:F$808)</f>
        <v>5</v>
      </c>
      <c r="H90" s="84">
        <f>SUMIF('[1]POOL-joueus'!$D$5:$D$808,C90,'[1]POOL-joueus'!$G$5:G$808)</f>
        <v>11</v>
      </c>
      <c r="I90" s="90">
        <f t="shared" si="4"/>
        <v>16</v>
      </c>
      <c r="J90" s="85">
        <f t="shared" si="5"/>
        <v>0.25</v>
      </c>
      <c r="K90" s="30">
        <f>SUMIF('[1]Pool-gardien'!$D$5:$D$127,C90,'[1]Pool-gardien'!$F$5:$F$127)</f>
        <v>0</v>
      </c>
      <c r="L90" s="30">
        <f>SUMIF('[1]Pool-gardien'!$D$5:$D$127,C90,'[1]Pool-gardien'!$G$5:$G$127)</f>
        <v>0</v>
      </c>
      <c r="M90" s="30">
        <f>SUMIF('[1]Pool-gardien'!$D$5:$D$127,C90,'[1]Pool-gardien'!$H$5:$H$127)</f>
        <v>0</v>
      </c>
      <c r="N90" s="91">
        <f>SUMIF('[1]Pool-gardien'!$D$5:$D$127,C90,'[1]Pool-gardien'!$K$5:$K$127)</f>
        <v>0</v>
      </c>
      <c r="O90" s="30">
        <f>SUMIF('[1]Equipes-Pool'!$B$6:$B$35,C90,'[1]Equipes-Pool'!$D$6:$D$35)</f>
        <v>0</v>
      </c>
      <c r="P90" s="30">
        <f>SUMIF('[1]Equipes-Pool'!$B$6:$B$35,C90,'[1]Equipes-Pool'!$E$6:$E$35)</f>
        <v>0</v>
      </c>
      <c r="Q90" s="30">
        <f>SUMIF('[1]Equipes-Pool'!$B$6:$B$35,C90,'[1]Equipes-Pool'!$F$6:$F$35)</f>
        <v>0</v>
      </c>
      <c r="R90" s="91">
        <f>SUMIF('[1]Equipes-Pool'!$B$6:$B$35,C90,'[1]Equipes-Pool'!$G$6:$G$35)</f>
        <v>0</v>
      </c>
    </row>
    <row r="91" spans="1:18" ht="15.75">
      <c r="A91" s="12" t="s">
        <v>12</v>
      </c>
      <c r="B91" s="14" t="s">
        <v>57</v>
      </c>
      <c r="C91" s="55" t="s">
        <v>164</v>
      </c>
      <c r="D91" s="62" t="s">
        <v>379</v>
      </c>
      <c r="E91" s="10" t="s">
        <v>62</v>
      </c>
      <c r="F91" s="84">
        <f>SUMIF('[1]POOL-joueus'!$D$5:$D$808,C91,'[1]POOL-joueus'!$E$5:$E$808)</f>
        <v>63</v>
      </c>
      <c r="G91" s="84">
        <f>SUMIF('[1]POOL-joueus'!$D$5:$D$808,C91,'[1]POOL-joueus'!$F$5:F$808)</f>
        <v>19</v>
      </c>
      <c r="H91" s="84">
        <f>SUMIF('[1]POOL-joueus'!$D$5:$D$808,C91,'[1]POOL-joueus'!$G$5:G$808)</f>
        <v>18</v>
      </c>
      <c r="I91" s="90">
        <f t="shared" si="4"/>
        <v>37</v>
      </c>
      <c r="J91" s="85">
        <f t="shared" si="5"/>
        <v>0.5873015873015873</v>
      </c>
      <c r="K91" s="30">
        <f>SUMIF('[1]Pool-gardien'!$D$5:$D$127,C91,'[1]Pool-gardien'!$F$5:$F$127)</f>
        <v>0</v>
      </c>
      <c r="L91" s="30">
        <f>SUMIF('[1]Pool-gardien'!$D$5:$D$127,C91,'[1]Pool-gardien'!$G$5:$G$127)</f>
        <v>0</v>
      </c>
      <c r="M91" s="30">
        <f>SUMIF('[1]Pool-gardien'!$D$5:$D$127,C91,'[1]Pool-gardien'!$H$5:$H$127)</f>
        <v>0</v>
      </c>
      <c r="N91" s="91">
        <f>SUMIF('[1]Pool-gardien'!$D$5:$D$127,C91,'[1]Pool-gardien'!$K$5:$K$127)</f>
        <v>0</v>
      </c>
      <c r="O91" s="30">
        <f>SUMIF('[1]Equipes-Pool'!$B$6:$B$35,C91,'[1]Equipes-Pool'!$D$6:$D$35)</f>
        <v>0</v>
      </c>
      <c r="P91" s="30">
        <f>SUMIF('[1]Equipes-Pool'!$B$6:$B$35,C91,'[1]Equipes-Pool'!$E$6:$E$35)</f>
        <v>0</v>
      </c>
      <c r="Q91" s="30">
        <f>SUMIF('[1]Equipes-Pool'!$B$6:$B$35,C91,'[1]Equipes-Pool'!$F$6:$F$35)</f>
        <v>0</v>
      </c>
      <c r="R91" s="91">
        <f>SUMIF('[1]Equipes-Pool'!$B$6:$B$35,C91,'[1]Equipes-Pool'!$G$6:$G$35)</f>
        <v>0</v>
      </c>
    </row>
    <row r="92" spans="1:18" ht="15.75">
      <c r="A92" s="12" t="s">
        <v>33</v>
      </c>
      <c r="B92" s="14" t="s">
        <v>70</v>
      </c>
      <c r="C92" s="55" t="s">
        <v>166</v>
      </c>
      <c r="D92" s="62" t="s">
        <v>379</v>
      </c>
      <c r="E92" s="10" t="s">
        <v>39</v>
      </c>
      <c r="F92" s="84">
        <f>SUMIF('[1]POOL-joueus'!$D$5:$D$808,C92,'[1]POOL-joueus'!$E$5:$E$808)</f>
        <v>62</v>
      </c>
      <c r="G92" s="84">
        <f>SUMIF('[1]POOL-joueus'!$D$5:$D$808,C92,'[1]POOL-joueus'!$F$5:F$808)</f>
        <v>9</v>
      </c>
      <c r="H92" s="84">
        <f>SUMIF('[1]POOL-joueus'!$D$5:$D$808,C92,'[1]POOL-joueus'!$G$5:G$808)</f>
        <v>30</v>
      </c>
      <c r="I92" s="90">
        <f t="shared" si="4"/>
        <v>39</v>
      </c>
      <c r="J92" s="85">
        <f t="shared" si="5"/>
        <v>0.6290322580645161</v>
      </c>
      <c r="K92" s="30">
        <f>SUMIF('[1]Pool-gardien'!$D$5:$D$127,C92,'[1]Pool-gardien'!$F$5:$F$127)</f>
        <v>0</v>
      </c>
      <c r="L92" s="30">
        <f>SUMIF('[1]Pool-gardien'!$D$5:$D$127,C92,'[1]Pool-gardien'!$G$5:$G$127)</f>
        <v>0</v>
      </c>
      <c r="M92" s="30">
        <f>SUMIF('[1]Pool-gardien'!$D$5:$D$127,C92,'[1]Pool-gardien'!$H$5:$H$127)</f>
        <v>0</v>
      </c>
      <c r="N92" s="91">
        <f>SUMIF('[1]Pool-gardien'!$D$5:$D$127,C92,'[1]Pool-gardien'!$K$5:$K$127)</f>
        <v>0</v>
      </c>
      <c r="O92" s="30">
        <f>SUMIF('[1]Equipes-Pool'!$B$6:$B$35,C92,'[1]Equipes-Pool'!$D$6:$D$35)</f>
        <v>0</v>
      </c>
      <c r="P92" s="30">
        <f>SUMIF('[1]Equipes-Pool'!$B$6:$B$35,C92,'[1]Equipes-Pool'!$E$6:$E$35)</f>
        <v>0</v>
      </c>
      <c r="Q92" s="30">
        <f>SUMIF('[1]Equipes-Pool'!$B$6:$B$35,C92,'[1]Equipes-Pool'!$F$6:$F$35)</f>
        <v>0</v>
      </c>
      <c r="R92" s="91">
        <f>SUMIF('[1]Equipes-Pool'!$B$6:$B$35,C92,'[1]Equipes-Pool'!$G$6:$G$35)</f>
        <v>0</v>
      </c>
    </row>
    <row r="93" spans="1:18" ht="15.75">
      <c r="A93" s="12" t="s">
        <v>40</v>
      </c>
      <c r="B93" s="14" t="s">
        <v>120</v>
      </c>
      <c r="C93" s="55" t="s">
        <v>168</v>
      </c>
      <c r="D93" s="62" t="s">
        <v>379</v>
      </c>
      <c r="E93" s="10" t="s">
        <v>45</v>
      </c>
      <c r="F93" s="84">
        <f>SUMIF('[1]POOL-joueus'!$D$5:$D$808,C93,'[1]POOL-joueus'!$E$5:$E$808)</f>
        <v>32</v>
      </c>
      <c r="G93" s="84">
        <f>SUMIF('[1]POOL-joueus'!$D$5:$D$808,C93,'[1]POOL-joueus'!$F$5:F$808)</f>
        <v>13</v>
      </c>
      <c r="H93" s="84">
        <f>SUMIF('[1]POOL-joueus'!$D$5:$D$808,C93,'[1]POOL-joueus'!$G$5:G$808)</f>
        <v>18</v>
      </c>
      <c r="I93" s="90">
        <f t="shared" si="4"/>
        <v>31</v>
      </c>
      <c r="J93" s="85">
        <f t="shared" si="5"/>
        <v>0.96875</v>
      </c>
      <c r="K93" s="30">
        <f>SUMIF('[1]Pool-gardien'!$D$5:$D$127,C93,'[1]Pool-gardien'!$F$5:$F$127)</f>
        <v>0</v>
      </c>
      <c r="L93" s="30">
        <f>SUMIF('[1]Pool-gardien'!$D$5:$D$127,C93,'[1]Pool-gardien'!$G$5:$G$127)</f>
        <v>0</v>
      </c>
      <c r="M93" s="30">
        <f>SUMIF('[1]Pool-gardien'!$D$5:$D$127,C93,'[1]Pool-gardien'!$H$5:$H$127)</f>
        <v>0</v>
      </c>
      <c r="N93" s="91">
        <f>SUMIF('[1]Pool-gardien'!$D$5:$D$127,C93,'[1]Pool-gardien'!$K$5:$K$127)</f>
        <v>0</v>
      </c>
      <c r="O93" s="30">
        <f>SUMIF('[1]Equipes-Pool'!$B$6:$B$35,C93,'[1]Equipes-Pool'!$D$6:$D$35)</f>
        <v>0</v>
      </c>
      <c r="P93" s="30">
        <f>SUMIF('[1]Equipes-Pool'!$B$6:$B$35,C93,'[1]Equipes-Pool'!$E$6:$E$35)</f>
        <v>0</v>
      </c>
      <c r="Q93" s="30">
        <f>SUMIF('[1]Equipes-Pool'!$B$6:$B$35,C93,'[1]Equipes-Pool'!$F$6:$F$35)</f>
        <v>0</v>
      </c>
      <c r="R93" s="91">
        <f>SUMIF('[1]Equipes-Pool'!$B$6:$B$35,C93,'[1]Equipes-Pool'!$G$6:$G$35)</f>
        <v>0</v>
      </c>
    </row>
    <row r="94" spans="1:18" ht="15.75">
      <c r="A94" s="12" t="s">
        <v>12</v>
      </c>
      <c r="B94" s="14" t="s">
        <v>17</v>
      </c>
      <c r="C94" s="55" t="s">
        <v>170</v>
      </c>
      <c r="D94" s="62" t="s">
        <v>379</v>
      </c>
      <c r="E94" s="10" t="s">
        <v>49</v>
      </c>
      <c r="F94" s="84">
        <f>SUMIF('[1]POOL-joueus'!$D$5:$D$808,C94,'[1]POOL-joueus'!$E$5:$E$808)</f>
        <v>64</v>
      </c>
      <c r="G94" s="84">
        <f>SUMIF('[1]POOL-joueus'!$D$5:$D$808,C94,'[1]POOL-joueus'!$F$5:F$808)</f>
        <v>23</v>
      </c>
      <c r="H94" s="84">
        <f>SUMIF('[1]POOL-joueus'!$D$5:$D$808,C94,'[1]POOL-joueus'!$G$5:G$808)</f>
        <v>18</v>
      </c>
      <c r="I94" s="90">
        <f t="shared" si="4"/>
        <v>41</v>
      </c>
      <c r="J94" s="85">
        <f t="shared" si="5"/>
        <v>0.640625</v>
      </c>
      <c r="K94" s="30">
        <f>SUMIF('[1]Pool-gardien'!$D$5:$D$127,C94,'[1]Pool-gardien'!$F$5:$F$127)</f>
        <v>0</v>
      </c>
      <c r="L94" s="30">
        <f>SUMIF('[1]Pool-gardien'!$D$5:$D$127,C94,'[1]Pool-gardien'!$G$5:$G$127)</f>
        <v>0</v>
      </c>
      <c r="M94" s="30">
        <f>SUMIF('[1]Pool-gardien'!$D$5:$D$127,C94,'[1]Pool-gardien'!$H$5:$H$127)</f>
        <v>0</v>
      </c>
      <c r="N94" s="91">
        <f>SUMIF('[1]Pool-gardien'!$D$5:$D$127,C94,'[1]Pool-gardien'!$K$5:$K$127)</f>
        <v>0</v>
      </c>
      <c r="O94" s="30">
        <f>SUMIF('[1]Equipes-Pool'!$B$6:$B$35,C94,'[1]Equipes-Pool'!$D$6:$D$35)</f>
        <v>0</v>
      </c>
      <c r="P94" s="30">
        <f>SUMIF('[1]Equipes-Pool'!$B$6:$B$35,C94,'[1]Equipes-Pool'!$E$6:$E$35)</f>
        <v>0</v>
      </c>
      <c r="Q94" s="30">
        <f>SUMIF('[1]Equipes-Pool'!$B$6:$B$35,C94,'[1]Equipes-Pool'!$F$6:$F$35)</f>
        <v>0</v>
      </c>
      <c r="R94" s="91">
        <f>SUMIF('[1]Equipes-Pool'!$B$6:$B$35,C94,'[1]Equipes-Pool'!$G$6:$G$35)</f>
        <v>0</v>
      </c>
    </row>
    <row r="95" spans="1:18" ht="15.75">
      <c r="A95" s="12" t="s">
        <v>12</v>
      </c>
      <c r="B95" s="14" t="s">
        <v>154</v>
      </c>
      <c r="C95" s="55" t="s">
        <v>172</v>
      </c>
      <c r="D95" s="62" t="s">
        <v>379</v>
      </c>
      <c r="E95" s="10" t="s">
        <v>27</v>
      </c>
      <c r="F95" s="84">
        <f>SUMIF('[1]POOL-joueus'!$D$5:$D$808,C95,'[1]POOL-joueus'!$E$5:$E$808)</f>
        <v>63</v>
      </c>
      <c r="G95" s="84">
        <f>SUMIF('[1]POOL-joueus'!$D$5:$D$808,C95,'[1]POOL-joueus'!$F$5:F$808)</f>
        <v>9</v>
      </c>
      <c r="H95" s="84">
        <f>SUMIF('[1]POOL-joueus'!$D$5:$D$808,C95,'[1]POOL-joueus'!$G$5:G$808)</f>
        <v>20</v>
      </c>
      <c r="I95" s="90">
        <f t="shared" si="4"/>
        <v>29</v>
      </c>
      <c r="J95" s="85">
        <f t="shared" si="5"/>
        <v>0.4603174603174603</v>
      </c>
      <c r="K95" s="30">
        <f>SUMIF('[1]Pool-gardien'!$D$5:$D$127,C95,'[1]Pool-gardien'!$F$5:$F$127)</f>
        <v>0</v>
      </c>
      <c r="L95" s="30">
        <f>SUMIF('[1]Pool-gardien'!$D$5:$D$127,C95,'[1]Pool-gardien'!$G$5:$G$127)</f>
        <v>0</v>
      </c>
      <c r="M95" s="30">
        <f>SUMIF('[1]Pool-gardien'!$D$5:$D$127,C95,'[1]Pool-gardien'!$H$5:$H$127)</f>
        <v>0</v>
      </c>
      <c r="N95" s="91">
        <f>SUMIF('[1]Pool-gardien'!$D$5:$D$127,C95,'[1]Pool-gardien'!$K$5:$K$127)</f>
        <v>0</v>
      </c>
      <c r="O95" s="30">
        <f>SUMIF('[1]Equipes-Pool'!$B$6:$B$35,C95,'[1]Equipes-Pool'!$D$6:$D$35)</f>
        <v>0</v>
      </c>
      <c r="P95" s="30">
        <f>SUMIF('[1]Equipes-Pool'!$B$6:$B$35,C95,'[1]Equipes-Pool'!$E$6:$E$35)</f>
        <v>0</v>
      </c>
      <c r="Q95" s="30">
        <f>SUMIF('[1]Equipes-Pool'!$B$6:$B$35,C95,'[1]Equipes-Pool'!$F$6:$F$35)</f>
        <v>0</v>
      </c>
      <c r="R95" s="91">
        <f>SUMIF('[1]Equipes-Pool'!$B$6:$B$35,C95,'[1]Equipes-Pool'!$G$6:$G$35)</f>
        <v>0</v>
      </c>
    </row>
    <row r="96" spans="1:18" ht="15.75">
      <c r="A96" s="12" t="s">
        <v>24</v>
      </c>
      <c r="B96" s="27" t="s">
        <v>57</v>
      </c>
      <c r="C96" s="68" t="s">
        <v>174</v>
      </c>
      <c r="D96" s="62" t="s">
        <v>379</v>
      </c>
      <c r="E96" s="10" t="s">
        <v>60</v>
      </c>
      <c r="F96" s="30">
        <f>SUMIF('[1]POOL-joueus'!$D$5:$D$808,C96,'[1]POOL-joueus'!$E$5:$E$808)</f>
        <v>40</v>
      </c>
      <c r="G96" s="30">
        <f>SUMIF('[1]POOL-joueus'!$D$5:$D$808,C96,'[1]POOL-joueus'!$F$5:F$808)</f>
        <v>9</v>
      </c>
      <c r="H96" s="30">
        <f>SUMIF('[1]POOL-joueus'!$D$5:$D$808,C96,'[1]POOL-joueus'!$G$5:G$808)</f>
        <v>15</v>
      </c>
      <c r="I96" s="91">
        <f t="shared" si="4"/>
        <v>24</v>
      </c>
      <c r="J96" s="81">
        <f t="shared" si="5"/>
        <v>0.6</v>
      </c>
      <c r="K96" s="30">
        <f>SUMIF('[1]Pool-gardien'!$D$5:$D$127,C96,'[1]Pool-gardien'!$F$5:$F$127)</f>
        <v>0</v>
      </c>
      <c r="L96" s="30">
        <f>SUMIF('[1]Pool-gardien'!$D$5:$D$127,C96,'[1]Pool-gardien'!$G$5:$G$127)</f>
        <v>0</v>
      </c>
      <c r="M96" s="30">
        <f>SUMIF('[1]Pool-gardien'!$D$5:$D$127,C96,'[1]Pool-gardien'!$H$5:$H$127)</f>
        <v>0</v>
      </c>
      <c r="N96" s="91">
        <f>SUMIF('[1]Pool-gardien'!$D$5:$D$127,C96,'[1]Pool-gardien'!$K$5:$K$127)</f>
        <v>0</v>
      </c>
      <c r="O96" s="30">
        <f>SUMIF('[1]Equipes-Pool'!$B$6:$B$35,C96,'[1]Equipes-Pool'!$D$6:$D$35)</f>
        <v>0</v>
      </c>
      <c r="P96" s="30">
        <f>SUMIF('[1]Equipes-Pool'!$B$6:$B$35,C96,'[1]Equipes-Pool'!$E$6:$E$35)</f>
        <v>0</v>
      </c>
      <c r="Q96" s="30">
        <f>SUMIF('[1]Equipes-Pool'!$B$6:$B$35,C96,'[1]Equipes-Pool'!$F$6:$F$35)</f>
        <v>0</v>
      </c>
      <c r="R96" s="91">
        <f>SUMIF('[1]Equipes-Pool'!$B$6:$B$35,C96,'[1]Equipes-Pool'!$G$6:$G$35)</f>
        <v>0</v>
      </c>
    </row>
    <row r="97" spans="1:18" ht="16.5" thickBot="1">
      <c r="A97" s="49" t="s">
        <v>33</v>
      </c>
      <c r="B97" s="50" t="s">
        <v>78</v>
      </c>
      <c r="C97" s="66" t="s">
        <v>176</v>
      </c>
      <c r="D97" s="64" t="s">
        <v>379</v>
      </c>
      <c r="E97" s="59" t="s">
        <v>65</v>
      </c>
      <c r="F97" s="96">
        <f>SUMIF('[1]POOL-joueus'!$D$5:$D$808,C97,'[1]POOL-joueus'!$E$5:$E$808)</f>
        <v>60</v>
      </c>
      <c r="G97" s="96">
        <f>SUMIF('[1]POOL-joueus'!$D$5:$D$808,C97,'[1]POOL-joueus'!$F$5:F$808)</f>
        <v>8</v>
      </c>
      <c r="H97" s="96">
        <f>SUMIF('[1]POOL-joueus'!$D$5:$D$808,C97,'[1]POOL-joueus'!$G$5:G$808)</f>
        <v>25</v>
      </c>
      <c r="I97" s="97">
        <f t="shared" si="4"/>
        <v>33</v>
      </c>
      <c r="J97" s="98">
        <f t="shared" si="5"/>
        <v>0.55</v>
      </c>
      <c r="K97" s="99">
        <f>SUMIF('[1]Pool-gardien'!$D$5:$D$127,C97,'[1]Pool-gardien'!$F$5:$F$127)</f>
        <v>0</v>
      </c>
      <c r="L97" s="99">
        <f>SUMIF('[1]Pool-gardien'!$D$5:$D$127,C97,'[1]Pool-gardien'!$G$5:$G$127)</f>
        <v>0</v>
      </c>
      <c r="M97" s="99">
        <f>SUMIF('[1]Pool-gardien'!$D$5:$D$127,C97,'[1]Pool-gardien'!$H$5:$H$127)</f>
        <v>0</v>
      </c>
      <c r="N97" s="100">
        <f>SUMIF('[1]Pool-gardien'!$D$5:$D$127,C97,'[1]Pool-gardien'!$K$5:$K$127)</f>
        <v>0</v>
      </c>
      <c r="O97" s="99">
        <f>SUMIF('[1]Equipes-Pool'!$B$6:$B$35,C97,'[1]Equipes-Pool'!$D$6:$D$35)</f>
        <v>0</v>
      </c>
      <c r="P97" s="99">
        <f>SUMIF('[1]Equipes-Pool'!$B$6:$B$35,C97,'[1]Equipes-Pool'!$E$6:$E$35)</f>
        <v>0</v>
      </c>
      <c r="Q97" s="99">
        <f>SUMIF('[1]Equipes-Pool'!$B$6:$B$35,C97,'[1]Equipes-Pool'!$F$6:$F$35)</f>
        <v>0</v>
      </c>
      <c r="R97" s="100">
        <f>SUMIF('[1]Equipes-Pool'!$B$6:$B$35,C97,'[1]Equipes-Pool'!$G$6:$G$35)</f>
        <v>0</v>
      </c>
    </row>
    <row r="98" spans="1:18" ht="15.75">
      <c r="A98" s="20" t="s">
        <v>9</v>
      </c>
      <c r="B98" s="21" t="s">
        <v>55</v>
      </c>
      <c r="C98" s="67" t="s">
        <v>159</v>
      </c>
      <c r="D98" s="63" t="s">
        <v>380</v>
      </c>
      <c r="E98" s="65" t="s">
        <v>8</v>
      </c>
      <c r="F98" s="35">
        <f>SUMIF('[1]POOL-joueus'!$D$5:$D$808,C98,'[1]POOL-joueus'!$E$5:$E$808)</f>
        <v>31</v>
      </c>
      <c r="G98" s="35">
        <f>SUMIF('[1]POOL-joueus'!$D$5:$D$808,C98,'[1]POOL-joueus'!$F$5:F$808)</f>
        <v>10</v>
      </c>
      <c r="H98" s="35">
        <f>SUMIF('[1]POOL-joueus'!$D$5:$D$808,C98,'[1]POOL-joueus'!$G$5:G$808)</f>
        <v>15</v>
      </c>
      <c r="I98" s="89">
        <f t="shared" si="4"/>
        <v>25</v>
      </c>
      <c r="J98" s="87">
        <f t="shared" si="5"/>
        <v>0.8064516129032258</v>
      </c>
      <c r="K98" s="35">
        <f>SUMIF('[1]Pool-gardien'!$D$5:$D$127,C98,'[1]Pool-gardien'!$F$5:$F$127)</f>
        <v>0</v>
      </c>
      <c r="L98" s="35">
        <f>SUMIF('[1]Pool-gardien'!$D$5:$D$127,C98,'[1]Pool-gardien'!$G$5:$G$127)</f>
        <v>0</v>
      </c>
      <c r="M98" s="35">
        <f>SUMIF('[1]Pool-gardien'!$D$5:$D$127,C98,'[1]Pool-gardien'!$H$5:$H$127)</f>
        <v>0</v>
      </c>
      <c r="N98" s="89">
        <f>SUMIF('[1]Pool-gardien'!$D$5:$D$127,C98,'[1]Pool-gardien'!$K$5:$K$127)</f>
        <v>0</v>
      </c>
      <c r="O98" s="35">
        <f>SUMIF('[1]Equipes-Pool'!$B$6:$B$35,C98,'[1]Equipes-Pool'!$D$6:$D$35)</f>
        <v>0</v>
      </c>
      <c r="P98" s="35">
        <f>SUMIF('[1]Equipes-Pool'!$B$6:$B$35,C98,'[1]Equipes-Pool'!$E$6:$E$35)</f>
        <v>0</v>
      </c>
      <c r="Q98" s="35">
        <f>SUMIF('[1]Equipes-Pool'!$B$6:$B$35,C98,'[1]Equipes-Pool'!$F$6:$F$35)</f>
        <v>0</v>
      </c>
      <c r="R98" s="89">
        <f>SUMIF('[1]Equipes-Pool'!$B$6:$B$35,C98,'[1]Equipes-Pool'!$G$6:$G$35)</f>
        <v>0</v>
      </c>
    </row>
    <row r="99" spans="1:18" ht="15.75">
      <c r="A99" s="12" t="s">
        <v>33</v>
      </c>
      <c r="B99" s="14" t="s">
        <v>125</v>
      </c>
      <c r="C99" s="55" t="s">
        <v>161</v>
      </c>
      <c r="D99" s="62" t="s">
        <v>380</v>
      </c>
      <c r="E99" s="10" t="s">
        <v>16</v>
      </c>
      <c r="F99" s="84">
        <f>SUMIF('[1]POOL-joueus'!$D$5:$D$808,C99,'[1]POOL-joueus'!$E$5:$E$808)</f>
        <v>66</v>
      </c>
      <c r="G99" s="84">
        <f>SUMIF('[1]POOL-joueus'!$D$5:$D$808,C99,'[1]POOL-joueus'!$F$5:F$808)</f>
        <v>5</v>
      </c>
      <c r="H99" s="84">
        <f>SUMIF('[1]POOL-joueus'!$D$5:$D$808,C99,'[1]POOL-joueus'!$G$5:G$808)</f>
        <v>28</v>
      </c>
      <c r="I99" s="90">
        <f t="shared" si="4"/>
        <v>33</v>
      </c>
      <c r="J99" s="85">
        <f t="shared" si="5"/>
        <v>0.5</v>
      </c>
      <c r="K99" s="30">
        <f>SUMIF('[1]Pool-gardien'!$D$5:$D$127,C99,'[1]Pool-gardien'!$F$5:$F$127)</f>
        <v>0</v>
      </c>
      <c r="L99" s="30">
        <f>SUMIF('[1]Pool-gardien'!$D$5:$D$127,C99,'[1]Pool-gardien'!$G$5:$G$127)</f>
        <v>0</v>
      </c>
      <c r="M99" s="30">
        <f>SUMIF('[1]Pool-gardien'!$D$5:$D$127,C99,'[1]Pool-gardien'!$H$5:$H$127)</f>
        <v>0</v>
      </c>
      <c r="N99" s="91">
        <f>SUMIF('[1]Pool-gardien'!$D$5:$D$127,C99,'[1]Pool-gardien'!$K$5:$K$127)</f>
        <v>0</v>
      </c>
      <c r="O99" s="30">
        <f>SUMIF('[1]Equipes-Pool'!$B$6:$B$35,C99,'[1]Equipes-Pool'!$D$6:$D$35)</f>
        <v>0</v>
      </c>
      <c r="P99" s="30">
        <f>SUMIF('[1]Equipes-Pool'!$B$6:$B$35,C99,'[1]Equipes-Pool'!$E$6:$E$35)</f>
        <v>0</v>
      </c>
      <c r="Q99" s="30">
        <f>SUMIF('[1]Equipes-Pool'!$B$6:$B$35,C99,'[1]Equipes-Pool'!$F$6:$F$35)</f>
        <v>0</v>
      </c>
      <c r="R99" s="91">
        <f>SUMIF('[1]Equipes-Pool'!$B$6:$B$35,C99,'[1]Equipes-Pool'!$G$6:$G$35)</f>
        <v>0</v>
      </c>
    </row>
    <row r="100" spans="1:18" ht="15.75">
      <c r="A100" s="12" t="s">
        <v>40</v>
      </c>
      <c r="B100" s="14" t="s">
        <v>140</v>
      </c>
      <c r="C100" s="55" t="s">
        <v>163</v>
      </c>
      <c r="D100" s="62" t="s">
        <v>380</v>
      </c>
      <c r="E100" s="10" t="s">
        <v>23</v>
      </c>
      <c r="F100" s="84">
        <f>SUMIF('[1]POOL-joueus'!$D$5:$D$808,C100,'[1]POOL-joueus'!$E$5:$E$808)</f>
        <v>65</v>
      </c>
      <c r="G100" s="84">
        <f>SUMIF('[1]POOL-joueus'!$D$5:$D$808,C100,'[1]POOL-joueus'!$F$5:F$808)</f>
        <v>22</v>
      </c>
      <c r="H100" s="84">
        <f>SUMIF('[1]POOL-joueus'!$D$5:$D$808,C100,'[1]POOL-joueus'!$G$5:G$808)</f>
        <v>27</v>
      </c>
      <c r="I100" s="90">
        <f t="shared" si="4"/>
        <v>49</v>
      </c>
      <c r="J100" s="85">
        <f t="shared" si="5"/>
        <v>0.7538461538461538</v>
      </c>
      <c r="K100" s="30">
        <f>SUMIF('[1]Pool-gardien'!$D$5:$D$127,C100,'[1]Pool-gardien'!$F$5:$F$127)</f>
        <v>0</v>
      </c>
      <c r="L100" s="30">
        <f>SUMIF('[1]Pool-gardien'!$D$5:$D$127,C100,'[1]Pool-gardien'!$G$5:$G$127)</f>
        <v>0</v>
      </c>
      <c r="M100" s="30">
        <f>SUMIF('[1]Pool-gardien'!$D$5:$D$127,C100,'[1]Pool-gardien'!$H$5:$H$127)</f>
        <v>0</v>
      </c>
      <c r="N100" s="91">
        <f>SUMIF('[1]Pool-gardien'!$D$5:$D$127,C100,'[1]Pool-gardien'!$K$5:$K$127)</f>
        <v>0</v>
      </c>
      <c r="O100" s="30">
        <f>SUMIF('[1]Equipes-Pool'!$B$6:$B$35,C100,'[1]Equipes-Pool'!$D$6:$D$35)</f>
        <v>0</v>
      </c>
      <c r="P100" s="30">
        <f>SUMIF('[1]Equipes-Pool'!$B$6:$B$35,C100,'[1]Equipes-Pool'!$E$6:$E$35)</f>
        <v>0</v>
      </c>
      <c r="Q100" s="30">
        <f>SUMIF('[1]Equipes-Pool'!$B$6:$B$35,C100,'[1]Equipes-Pool'!$F$6:$F$35)</f>
        <v>0</v>
      </c>
      <c r="R100" s="91">
        <f>SUMIF('[1]Equipes-Pool'!$B$6:$B$35,C100,'[1]Equipes-Pool'!$G$6:$G$35)</f>
        <v>0</v>
      </c>
    </row>
    <row r="101" spans="1:18" ht="15.75">
      <c r="A101" s="12" t="s">
        <v>24</v>
      </c>
      <c r="B101" s="14" t="s">
        <v>17</v>
      </c>
      <c r="C101" s="55" t="s">
        <v>165</v>
      </c>
      <c r="D101" s="62" t="s">
        <v>380</v>
      </c>
      <c r="E101" s="10" t="s">
        <v>32</v>
      </c>
      <c r="F101" s="30">
        <f>SUMIF('[1]POOL-joueus'!$D$5:$D$808,C101,'[1]POOL-joueus'!$E$5:$E$808)</f>
        <v>24</v>
      </c>
      <c r="G101" s="30">
        <f>SUMIF('[1]POOL-joueus'!$D$5:$D$808,C101,'[1]POOL-joueus'!$F$5:F$808)</f>
        <v>5</v>
      </c>
      <c r="H101" s="30">
        <f>SUMIF('[1]POOL-joueus'!$D$5:$D$808,C101,'[1]POOL-joueus'!$G$5:G$808)</f>
        <v>7</v>
      </c>
      <c r="I101" s="91">
        <f t="shared" si="4"/>
        <v>12</v>
      </c>
      <c r="J101" s="81">
        <f t="shared" si="5"/>
        <v>0.5</v>
      </c>
      <c r="K101" s="30">
        <f>SUMIF('[1]Pool-gardien'!$D$5:$D$127,C101,'[1]Pool-gardien'!$F$5:$F$127)</f>
        <v>0</v>
      </c>
      <c r="L101" s="30">
        <f>SUMIF('[1]Pool-gardien'!$D$5:$D$127,C101,'[1]Pool-gardien'!$G$5:$G$127)</f>
        <v>0</v>
      </c>
      <c r="M101" s="30">
        <f>SUMIF('[1]Pool-gardien'!$D$5:$D$127,C101,'[1]Pool-gardien'!$H$5:$H$127)</f>
        <v>0</v>
      </c>
      <c r="N101" s="91">
        <f>SUMIF('[1]Pool-gardien'!$D$5:$D$127,C101,'[1]Pool-gardien'!$K$5:$K$127)</f>
        <v>0</v>
      </c>
      <c r="O101" s="30">
        <f>SUMIF('[1]Equipes-Pool'!$B$6:$B$35,C101,'[1]Equipes-Pool'!$D$6:$D$35)</f>
        <v>0</v>
      </c>
      <c r="P101" s="30">
        <f>SUMIF('[1]Equipes-Pool'!$B$6:$B$35,C101,'[1]Equipes-Pool'!$E$6:$E$35)</f>
        <v>0</v>
      </c>
      <c r="Q101" s="30">
        <f>SUMIF('[1]Equipes-Pool'!$B$6:$B$35,C101,'[1]Equipes-Pool'!$F$6:$F$35)</f>
        <v>0</v>
      </c>
      <c r="R101" s="91">
        <f>SUMIF('[1]Equipes-Pool'!$B$6:$B$35,C101,'[1]Equipes-Pool'!$G$6:$G$35)</f>
        <v>0</v>
      </c>
    </row>
    <row r="102" spans="1:18" ht="15.75">
      <c r="A102" s="12" t="s">
        <v>19</v>
      </c>
      <c r="B102" s="14" t="s">
        <v>81</v>
      </c>
      <c r="C102" s="55" t="s">
        <v>167</v>
      </c>
      <c r="D102" s="62" t="s">
        <v>380</v>
      </c>
      <c r="E102" s="10" t="s">
        <v>39</v>
      </c>
      <c r="F102" s="30">
        <f>SUMIF('[1]POOL-joueus'!$D$5:$D$808,C102,'[1]POOL-joueus'!$E$5:$E$808)</f>
        <v>45</v>
      </c>
      <c r="G102" s="30">
        <f>SUMIF('[1]POOL-joueus'!$D$5:$D$808,C102,'[1]POOL-joueus'!$F$5:F$808)</f>
        <v>6</v>
      </c>
      <c r="H102" s="30">
        <f>SUMIF('[1]POOL-joueus'!$D$5:$D$808,C102,'[1]POOL-joueus'!$G$5:G$808)</f>
        <v>14</v>
      </c>
      <c r="I102" s="91">
        <f t="shared" si="4"/>
        <v>20</v>
      </c>
      <c r="J102" s="81">
        <f t="shared" si="5"/>
        <v>0.4444444444444444</v>
      </c>
      <c r="K102" s="30">
        <f>SUMIF('[1]Pool-gardien'!$D$5:$D$127,C102,'[1]Pool-gardien'!$F$5:$F$127)</f>
        <v>0</v>
      </c>
      <c r="L102" s="30">
        <f>SUMIF('[1]Pool-gardien'!$D$5:$D$127,C102,'[1]Pool-gardien'!$G$5:$G$127)</f>
        <v>0</v>
      </c>
      <c r="M102" s="30">
        <f>SUMIF('[1]Pool-gardien'!$D$5:$D$127,C102,'[1]Pool-gardien'!$H$5:$H$127)</f>
        <v>0</v>
      </c>
      <c r="N102" s="91">
        <f>SUMIF('[1]Pool-gardien'!$D$5:$D$127,C102,'[1]Pool-gardien'!$K$5:$K$127)</f>
        <v>0</v>
      </c>
      <c r="O102" s="30">
        <f>SUMIF('[1]Equipes-Pool'!$B$6:$B$35,C102,'[1]Equipes-Pool'!$D$6:$D$35)</f>
        <v>0</v>
      </c>
      <c r="P102" s="30">
        <f>SUMIF('[1]Equipes-Pool'!$B$6:$B$35,C102,'[1]Equipes-Pool'!$E$6:$E$35)</f>
        <v>0</v>
      </c>
      <c r="Q102" s="30">
        <f>SUMIF('[1]Equipes-Pool'!$B$6:$B$35,C102,'[1]Equipes-Pool'!$F$6:$F$35)</f>
        <v>0</v>
      </c>
      <c r="R102" s="91">
        <f>SUMIF('[1]Equipes-Pool'!$B$6:$B$35,C102,'[1]Equipes-Pool'!$G$6:$G$35)</f>
        <v>0</v>
      </c>
    </row>
    <row r="103" spans="1:18" ht="15.75">
      <c r="A103" s="12" t="s">
        <v>24</v>
      </c>
      <c r="B103" s="14" t="s">
        <v>125</v>
      </c>
      <c r="C103" s="55" t="s">
        <v>169</v>
      </c>
      <c r="D103" s="62" t="s">
        <v>380</v>
      </c>
      <c r="E103" s="10" t="s">
        <v>45</v>
      </c>
      <c r="F103" s="30">
        <f>SUMIF('[1]POOL-joueus'!$D$5:$D$808,C103,'[1]POOL-joueus'!$E$5:$E$808)</f>
        <v>0</v>
      </c>
      <c r="G103" s="30">
        <f>SUMIF('[1]POOL-joueus'!$D$5:$D$808,C103,'[1]POOL-joueus'!$F$5:F$808)</f>
        <v>0</v>
      </c>
      <c r="H103" s="30">
        <f>SUMIF('[1]POOL-joueus'!$D$5:$D$808,C103,'[1]POOL-joueus'!$G$5:G$808)</f>
        <v>0</v>
      </c>
      <c r="I103" s="91">
        <f t="shared" si="4"/>
        <v>0</v>
      </c>
      <c r="J103" s="81" t="e">
        <f t="shared" si="5"/>
        <v>#DIV/0!</v>
      </c>
      <c r="K103" s="30">
        <f>SUMIF('[1]Pool-gardien'!$D$5:$D$127,C103,'[1]Pool-gardien'!$F$5:$F$127)</f>
        <v>0</v>
      </c>
      <c r="L103" s="30">
        <f>SUMIF('[1]Pool-gardien'!$D$5:$D$127,C103,'[1]Pool-gardien'!$G$5:$G$127)</f>
        <v>0</v>
      </c>
      <c r="M103" s="30">
        <f>SUMIF('[1]Pool-gardien'!$D$5:$D$127,C103,'[1]Pool-gardien'!$H$5:$H$127)</f>
        <v>0</v>
      </c>
      <c r="N103" s="91">
        <f>SUMIF('[1]Pool-gardien'!$D$5:$D$127,C103,'[1]Pool-gardien'!$K$5:$K$127)</f>
        <v>0</v>
      </c>
      <c r="O103" s="30">
        <f>SUMIF('[1]Equipes-Pool'!$B$6:$B$35,C103,'[1]Equipes-Pool'!$D$6:$D$35)</f>
        <v>0</v>
      </c>
      <c r="P103" s="30">
        <f>SUMIF('[1]Equipes-Pool'!$B$6:$B$35,C103,'[1]Equipes-Pool'!$E$6:$E$35)</f>
        <v>0</v>
      </c>
      <c r="Q103" s="30">
        <f>SUMIF('[1]Equipes-Pool'!$B$6:$B$35,C103,'[1]Equipes-Pool'!$F$6:$F$35)</f>
        <v>0</v>
      </c>
      <c r="R103" s="91">
        <f>SUMIF('[1]Equipes-Pool'!$B$6:$B$35,C103,'[1]Equipes-Pool'!$G$6:$G$35)</f>
        <v>0</v>
      </c>
    </row>
    <row r="104" spans="1:18" ht="15.75">
      <c r="A104" s="12" t="s">
        <v>24</v>
      </c>
      <c r="B104" s="14" t="s">
        <v>36</v>
      </c>
      <c r="C104" s="55" t="s">
        <v>171</v>
      </c>
      <c r="D104" s="62" t="s">
        <v>380</v>
      </c>
      <c r="E104" s="10" t="s">
        <v>52</v>
      </c>
      <c r="F104" s="30">
        <f>SUMIF('[1]POOL-joueus'!$D$5:$D$808,C104,'[1]POOL-joueus'!$E$5:$E$808)</f>
        <v>17</v>
      </c>
      <c r="G104" s="30">
        <f>SUMIF('[1]POOL-joueus'!$D$5:$D$808,C104,'[1]POOL-joueus'!$F$5:F$808)</f>
        <v>0</v>
      </c>
      <c r="H104" s="30">
        <f>SUMIF('[1]POOL-joueus'!$D$5:$D$808,C104,'[1]POOL-joueus'!$G$5:G$808)</f>
        <v>2</v>
      </c>
      <c r="I104" s="91">
        <f t="shared" si="4"/>
        <v>2</v>
      </c>
      <c r="J104" s="81">
        <f t="shared" si="5"/>
        <v>0.11764705882352941</v>
      </c>
      <c r="K104" s="30">
        <f>SUMIF('[1]Pool-gardien'!$D$5:$D$127,C104,'[1]Pool-gardien'!$F$5:$F$127)</f>
        <v>0</v>
      </c>
      <c r="L104" s="30">
        <f>SUMIF('[1]Pool-gardien'!$D$5:$D$127,C104,'[1]Pool-gardien'!$G$5:$G$127)</f>
        <v>0</v>
      </c>
      <c r="M104" s="30">
        <f>SUMIF('[1]Pool-gardien'!$D$5:$D$127,C104,'[1]Pool-gardien'!$H$5:$H$127)</f>
        <v>0</v>
      </c>
      <c r="N104" s="91">
        <f>SUMIF('[1]Pool-gardien'!$D$5:$D$127,C104,'[1]Pool-gardien'!$K$5:$K$127)</f>
        <v>0</v>
      </c>
      <c r="O104" s="30">
        <f>SUMIF('[1]Equipes-Pool'!$B$6:$B$35,C104,'[1]Equipes-Pool'!$D$6:$D$35)</f>
        <v>0</v>
      </c>
      <c r="P104" s="30">
        <f>SUMIF('[1]Equipes-Pool'!$B$6:$B$35,C104,'[1]Equipes-Pool'!$E$6:$E$35)</f>
        <v>0</v>
      </c>
      <c r="Q104" s="30">
        <f>SUMIF('[1]Equipes-Pool'!$B$6:$B$35,C104,'[1]Equipes-Pool'!$F$6:$F$35)</f>
        <v>0</v>
      </c>
      <c r="R104" s="91">
        <f>SUMIF('[1]Equipes-Pool'!$B$6:$B$35,C104,'[1]Equipes-Pool'!$G$6:$G$35)</f>
        <v>0</v>
      </c>
    </row>
    <row r="105" spans="1:18" ht="15.75">
      <c r="A105" s="12" t="s">
        <v>24</v>
      </c>
      <c r="B105" s="14" t="s">
        <v>50</v>
      </c>
      <c r="C105" s="55" t="s">
        <v>173</v>
      </c>
      <c r="D105" s="62" t="s">
        <v>380</v>
      </c>
      <c r="E105" s="10" t="s">
        <v>62</v>
      </c>
      <c r="F105" s="30">
        <f>SUMIF('[1]POOL-joueus'!$D$5:$D$808,C105,'[1]POOL-joueus'!$E$5:$E$808)</f>
        <v>65</v>
      </c>
      <c r="G105" s="30">
        <f>SUMIF('[1]POOL-joueus'!$D$5:$D$808,C105,'[1]POOL-joueus'!$F$5:F$808)</f>
        <v>10</v>
      </c>
      <c r="H105" s="30">
        <f>SUMIF('[1]POOL-joueus'!$D$5:$D$808,C105,'[1]POOL-joueus'!$G$5:G$808)</f>
        <v>15</v>
      </c>
      <c r="I105" s="91">
        <f t="shared" si="4"/>
        <v>25</v>
      </c>
      <c r="J105" s="81">
        <f t="shared" si="5"/>
        <v>0.38461538461538464</v>
      </c>
      <c r="K105" s="30">
        <f>SUMIF('[1]Pool-gardien'!$D$5:$D$127,C105,'[1]Pool-gardien'!$F$5:$F$127)</f>
        <v>0</v>
      </c>
      <c r="L105" s="30">
        <f>SUMIF('[1]Pool-gardien'!$D$5:$D$127,C105,'[1]Pool-gardien'!$G$5:$G$127)</f>
        <v>0</v>
      </c>
      <c r="M105" s="30">
        <f>SUMIF('[1]Pool-gardien'!$D$5:$D$127,C105,'[1]Pool-gardien'!$H$5:$H$127)</f>
        <v>0</v>
      </c>
      <c r="N105" s="91">
        <f>SUMIF('[1]Pool-gardien'!$D$5:$D$127,C105,'[1]Pool-gardien'!$K$5:$K$127)</f>
        <v>0</v>
      </c>
      <c r="O105" s="30">
        <f>SUMIF('[1]Equipes-Pool'!$B$6:$B$35,C105,'[1]Equipes-Pool'!$D$6:$D$35)</f>
        <v>0</v>
      </c>
      <c r="P105" s="30">
        <f>SUMIF('[1]Equipes-Pool'!$B$6:$B$35,C105,'[1]Equipes-Pool'!$E$6:$E$35)</f>
        <v>0</v>
      </c>
      <c r="Q105" s="30">
        <f>SUMIF('[1]Equipes-Pool'!$B$6:$B$35,C105,'[1]Equipes-Pool'!$F$6:$F$35)</f>
        <v>0</v>
      </c>
      <c r="R105" s="91">
        <f>SUMIF('[1]Equipes-Pool'!$B$6:$B$35,C105,'[1]Equipes-Pool'!$G$6:$G$35)</f>
        <v>0</v>
      </c>
    </row>
    <row r="106" spans="1:18" ht="15.75">
      <c r="A106" s="12" t="s">
        <v>12</v>
      </c>
      <c r="B106" s="14" t="s">
        <v>118</v>
      </c>
      <c r="C106" s="55" t="s">
        <v>175</v>
      </c>
      <c r="D106" s="62" t="s">
        <v>380</v>
      </c>
      <c r="E106" s="10" t="s">
        <v>62</v>
      </c>
      <c r="F106" s="84">
        <f>SUMIF('[1]POOL-joueus'!$D$5:$D$808,C106,'[1]POOL-joueus'!$E$5:$E$808)</f>
        <v>35</v>
      </c>
      <c r="G106" s="84">
        <f>SUMIF('[1]POOL-joueus'!$D$5:$D$808,C106,'[1]POOL-joueus'!$F$5:F$808)</f>
        <v>8</v>
      </c>
      <c r="H106" s="84">
        <f>SUMIF('[1]POOL-joueus'!$D$5:$D$808,C106,'[1]POOL-joueus'!$G$5:G$808)</f>
        <v>15</v>
      </c>
      <c r="I106" s="90">
        <f t="shared" si="4"/>
        <v>23</v>
      </c>
      <c r="J106" s="85">
        <f t="shared" si="5"/>
        <v>0.6571428571428571</v>
      </c>
      <c r="K106" s="30">
        <f>SUMIF('[1]Pool-gardien'!$D$5:$D$127,C106,'[1]Pool-gardien'!$F$5:$F$127)</f>
        <v>0</v>
      </c>
      <c r="L106" s="30">
        <f>SUMIF('[1]Pool-gardien'!$D$5:$D$127,C106,'[1]Pool-gardien'!$G$5:$G$127)</f>
        <v>0</v>
      </c>
      <c r="M106" s="30">
        <f>SUMIF('[1]Pool-gardien'!$D$5:$D$127,C106,'[1]Pool-gardien'!$H$5:$H$127)</f>
        <v>0</v>
      </c>
      <c r="N106" s="91">
        <f>SUMIF('[1]Pool-gardien'!$D$5:$D$127,C106,'[1]Pool-gardien'!$K$5:$K$127)</f>
        <v>0</v>
      </c>
      <c r="O106" s="30">
        <f>SUMIF('[1]Equipes-Pool'!$B$6:$B$35,C106,'[1]Equipes-Pool'!$D$6:$D$35)</f>
        <v>0</v>
      </c>
      <c r="P106" s="30">
        <f>SUMIF('[1]Equipes-Pool'!$B$6:$B$35,C106,'[1]Equipes-Pool'!$E$6:$E$35)</f>
        <v>0</v>
      </c>
      <c r="Q106" s="30">
        <f>SUMIF('[1]Equipes-Pool'!$B$6:$B$35,C106,'[1]Equipes-Pool'!$F$6:$F$35)</f>
        <v>0</v>
      </c>
      <c r="R106" s="91">
        <f>SUMIF('[1]Equipes-Pool'!$B$6:$B$35,C106,'[1]Equipes-Pool'!$G$6:$G$35)</f>
        <v>0</v>
      </c>
    </row>
    <row r="107" spans="1:18" ht="16.5" thickBot="1">
      <c r="A107" s="49" t="s">
        <v>24</v>
      </c>
      <c r="B107" s="50" t="s">
        <v>140</v>
      </c>
      <c r="C107" s="66" t="s">
        <v>177</v>
      </c>
      <c r="D107" s="64" t="s">
        <v>380</v>
      </c>
      <c r="E107" s="59" t="s">
        <v>65</v>
      </c>
      <c r="F107" s="99">
        <f>SUMIF('[1]POOL-joueus'!$D$5:$D$808,C107,'[1]POOL-joueus'!$E$5:$E$808)</f>
        <v>59</v>
      </c>
      <c r="G107" s="99">
        <f>SUMIF('[1]POOL-joueus'!$D$5:$D$808,C107,'[1]POOL-joueus'!$F$5:F$808)</f>
        <v>10</v>
      </c>
      <c r="H107" s="99">
        <f>SUMIF('[1]POOL-joueus'!$D$5:$D$808,C107,'[1]POOL-joueus'!$G$5:G$808)</f>
        <v>12</v>
      </c>
      <c r="I107" s="100">
        <f t="shared" si="4"/>
        <v>22</v>
      </c>
      <c r="J107" s="103">
        <f t="shared" si="5"/>
        <v>0.3728813559322034</v>
      </c>
      <c r="K107" s="99">
        <f>SUMIF('[1]Pool-gardien'!$D$5:$D$127,C107,'[1]Pool-gardien'!$F$5:$F$127)</f>
        <v>0</v>
      </c>
      <c r="L107" s="99">
        <f>SUMIF('[1]Pool-gardien'!$D$5:$D$127,C107,'[1]Pool-gardien'!$G$5:$G$127)</f>
        <v>0</v>
      </c>
      <c r="M107" s="99">
        <f>SUMIF('[1]Pool-gardien'!$D$5:$D$127,C107,'[1]Pool-gardien'!$H$5:$H$127)</f>
        <v>0</v>
      </c>
      <c r="N107" s="100">
        <f>SUMIF('[1]Pool-gardien'!$D$5:$D$127,C107,'[1]Pool-gardien'!$K$5:$K$127)</f>
        <v>0</v>
      </c>
      <c r="O107" s="99">
        <f>SUMIF('[1]Equipes-Pool'!$B$6:$B$35,C107,'[1]Equipes-Pool'!$D$6:$D$35)</f>
        <v>0</v>
      </c>
      <c r="P107" s="99">
        <f>SUMIF('[1]Equipes-Pool'!$B$6:$B$35,C107,'[1]Equipes-Pool'!$E$6:$E$35)</f>
        <v>0</v>
      </c>
      <c r="Q107" s="99">
        <f>SUMIF('[1]Equipes-Pool'!$B$6:$B$35,C107,'[1]Equipes-Pool'!$F$6:$F$35)</f>
        <v>0</v>
      </c>
      <c r="R107" s="100">
        <f>SUMIF('[1]Equipes-Pool'!$B$6:$B$35,C107,'[1]Equipes-Pool'!$G$6:$G$35)</f>
        <v>0</v>
      </c>
    </row>
    <row r="108" spans="1:18" ht="15.75">
      <c r="A108" s="20" t="s">
        <v>19</v>
      </c>
      <c r="B108" s="21" t="s">
        <v>125</v>
      </c>
      <c r="C108" s="67" t="s">
        <v>180</v>
      </c>
      <c r="D108" s="63" t="s">
        <v>381</v>
      </c>
      <c r="E108" s="65" t="s">
        <v>8</v>
      </c>
      <c r="F108" s="35">
        <f>SUMIF('[1]POOL-joueus'!$D$5:$D$808,C108,'[1]POOL-joueus'!$E$5:$E$808)</f>
        <v>31</v>
      </c>
      <c r="G108" s="35">
        <f>SUMIF('[1]POOL-joueus'!$D$5:$D$808,C108,'[1]POOL-joueus'!$F$5:F$808)</f>
        <v>3</v>
      </c>
      <c r="H108" s="35">
        <f>SUMIF('[1]POOL-joueus'!$D$5:$D$808,C108,'[1]POOL-joueus'!$G$5:G$808)</f>
        <v>5</v>
      </c>
      <c r="I108" s="89">
        <f t="shared" si="4"/>
        <v>8</v>
      </c>
      <c r="J108" s="87">
        <f t="shared" si="5"/>
        <v>0.25806451612903225</v>
      </c>
      <c r="K108" s="35">
        <f>SUMIF('[1]Pool-gardien'!$D$5:$D$127,C108,'[1]Pool-gardien'!$F$5:$F$127)</f>
        <v>0</v>
      </c>
      <c r="L108" s="35">
        <f>SUMIF('[1]Pool-gardien'!$D$5:$D$127,C108,'[1]Pool-gardien'!$G$5:$G$127)</f>
        <v>0</v>
      </c>
      <c r="M108" s="35">
        <f>SUMIF('[1]Pool-gardien'!$D$5:$D$127,C108,'[1]Pool-gardien'!$H$5:$H$127)</f>
        <v>0</v>
      </c>
      <c r="N108" s="89">
        <f>SUMIF('[1]Pool-gardien'!$D$5:$D$127,C108,'[1]Pool-gardien'!$K$5:$K$127)</f>
        <v>0</v>
      </c>
      <c r="O108" s="35">
        <f>SUMIF('[1]Equipes-Pool'!$B$6:$B$35,C108,'[1]Equipes-Pool'!$D$6:$D$35)</f>
        <v>0</v>
      </c>
      <c r="P108" s="35">
        <f>SUMIF('[1]Equipes-Pool'!$B$6:$B$35,C108,'[1]Equipes-Pool'!$E$6:$E$35)</f>
        <v>0</v>
      </c>
      <c r="Q108" s="35">
        <f>SUMIF('[1]Equipes-Pool'!$B$6:$B$35,C108,'[1]Equipes-Pool'!$F$6:$F$35)</f>
        <v>0</v>
      </c>
      <c r="R108" s="89">
        <f>SUMIF('[1]Equipes-Pool'!$B$6:$B$35,C108,'[1]Equipes-Pool'!$G$6:$G$35)</f>
        <v>0</v>
      </c>
    </row>
    <row r="109" spans="1:18" ht="15.75">
      <c r="A109" s="17" t="s">
        <v>28</v>
      </c>
      <c r="B109" s="18" t="s">
        <v>84</v>
      </c>
      <c r="C109" s="70" t="s">
        <v>182</v>
      </c>
      <c r="D109" s="62" t="s">
        <v>381</v>
      </c>
      <c r="E109" s="10" t="s">
        <v>16</v>
      </c>
      <c r="F109" s="82">
        <f>SUMIF('[1]Pool-gardien'!$D$5:$D$127,C109,'[1]Pool-gardien'!$E$5:$E$127)</f>
        <v>45</v>
      </c>
      <c r="G109" s="82">
        <f>SUMIF('[1]Pool-gardien'!$D$5:$D$127,C109,'[1]Pool-gardien'!$I$5:$I$127)</f>
        <v>0</v>
      </c>
      <c r="H109" s="82">
        <f>SUMIF('[1]Pool-gardien'!$D$5:$D$127,C109,'[1]Pool-gardien'!$J$5:$J$127)</f>
        <v>1</v>
      </c>
      <c r="I109" s="92">
        <f t="shared" si="4"/>
        <v>1</v>
      </c>
      <c r="J109" s="81">
        <f t="shared" si="5"/>
        <v>0.022222222222222223</v>
      </c>
      <c r="K109" s="82">
        <f>SUMIF('[1]Pool-gardien'!$D$5:$D$127,C109,'[1]Pool-gardien'!$F$5:$F$127)</f>
        <v>17</v>
      </c>
      <c r="L109" s="82">
        <f>SUMIF('[1]Pool-gardien'!$D$5:$D$127,C109,'[1]Pool-gardien'!$G$5:$G$127)</f>
        <v>1</v>
      </c>
      <c r="M109" s="82">
        <f>SUMIF('[1]Pool-gardien'!$D$5:$D$127,C109,'[1]Pool-gardien'!$H$5:$H$127)</f>
        <v>1</v>
      </c>
      <c r="N109" s="92">
        <f>SUMIF('[1]Pool-gardien'!$D$5:$D$127,C109,'[1]Pool-gardien'!$K$5:$K$127)</f>
        <v>40</v>
      </c>
      <c r="O109" s="30">
        <f>SUMIF('[1]Equipes-Pool'!$B$6:$B$35,C109,'[1]Equipes-Pool'!$D$6:$D$35)</f>
        <v>0</v>
      </c>
      <c r="P109" s="30">
        <f>SUMIF('[1]Equipes-Pool'!$B$6:$B$35,C109,'[1]Equipes-Pool'!$E$6:$E$35)</f>
        <v>0</v>
      </c>
      <c r="Q109" s="30">
        <f>SUMIF('[1]Equipes-Pool'!$B$6:$B$35,C109,'[1]Equipes-Pool'!$F$6:$F$35)</f>
        <v>0</v>
      </c>
      <c r="R109" s="91">
        <f>SUMIF('[1]Equipes-Pool'!$B$6:$B$35,C109,'[1]Equipes-Pool'!$G$6:$G$35)</f>
        <v>0</v>
      </c>
    </row>
    <row r="110" spans="1:18" ht="15.75">
      <c r="A110" s="12" t="s">
        <v>12</v>
      </c>
      <c r="B110" s="14" t="s">
        <v>41</v>
      </c>
      <c r="C110" s="55" t="s">
        <v>184</v>
      </c>
      <c r="D110" s="62" t="s">
        <v>381</v>
      </c>
      <c r="E110" s="10" t="s">
        <v>23</v>
      </c>
      <c r="F110" s="84">
        <f>SUMIF('[1]POOL-joueus'!$D$5:$D$808,C110,'[1]POOL-joueus'!$E$5:$E$808)</f>
        <v>52</v>
      </c>
      <c r="G110" s="84">
        <f>SUMIF('[1]POOL-joueus'!$D$5:$D$808,C110,'[1]POOL-joueus'!$F$5:F$808)</f>
        <v>11</v>
      </c>
      <c r="H110" s="84">
        <f>SUMIF('[1]POOL-joueus'!$D$5:$D$808,C110,'[1]POOL-joueus'!$G$5:G$808)</f>
        <v>20</v>
      </c>
      <c r="I110" s="90">
        <f t="shared" si="4"/>
        <v>31</v>
      </c>
      <c r="J110" s="85">
        <f t="shared" si="5"/>
        <v>0.5961538461538461</v>
      </c>
      <c r="K110" s="30">
        <f>SUMIF('[1]Pool-gardien'!$D$5:$D$127,C110,'[1]Pool-gardien'!$F$5:$F$127)</f>
        <v>0</v>
      </c>
      <c r="L110" s="30">
        <f>SUMIF('[1]Pool-gardien'!$D$5:$D$127,C110,'[1]Pool-gardien'!$G$5:$G$127)</f>
        <v>0</v>
      </c>
      <c r="M110" s="30">
        <f>SUMIF('[1]Pool-gardien'!$D$5:$D$127,C110,'[1]Pool-gardien'!$H$5:$H$127)</f>
        <v>0</v>
      </c>
      <c r="N110" s="91">
        <f>SUMIF('[1]Pool-gardien'!$D$5:$D$127,C110,'[1]Pool-gardien'!$K$5:$K$127)</f>
        <v>0</v>
      </c>
      <c r="O110" s="30">
        <f>SUMIF('[1]Equipes-Pool'!$B$6:$B$35,C110,'[1]Equipes-Pool'!$D$6:$D$35)</f>
        <v>0</v>
      </c>
      <c r="P110" s="30">
        <f>SUMIF('[1]Equipes-Pool'!$B$6:$B$35,C110,'[1]Equipes-Pool'!$E$6:$E$35)</f>
        <v>0</v>
      </c>
      <c r="Q110" s="30">
        <f>SUMIF('[1]Equipes-Pool'!$B$6:$B$35,C110,'[1]Equipes-Pool'!$F$6:$F$35)</f>
        <v>0</v>
      </c>
      <c r="R110" s="91">
        <f>SUMIF('[1]Equipes-Pool'!$B$6:$B$35,C110,'[1]Equipes-Pool'!$G$6:$G$35)</f>
        <v>0</v>
      </c>
    </row>
    <row r="111" spans="1:18" ht="15.75">
      <c r="A111" s="12" t="s">
        <v>9</v>
      </c>
      <c r="B111" s="14" t="s">
        <v>186</v>
      </c>
      <c r="C111" s="55" t="s">
        <v>187</v>
      </c>
      <c r="D111" s="62" t="s">
        <v>381</v>
      </c>
      <c r="E111" s="10" t="s">
        <v>32</v>
      </c>
      <c r="F111" s="30">
        <f>SUMIF('[1]POOL-joueus'!$D$5:$D$808,C111,'[1]POOL-joueus'!$E$5:$E$808)</f>
        <v>1</v>
      </c>
      <c r="G111" s="30">
        <f>SUMIF('[1]POOL-joueus'!$D$5:$D$808,C111,'[1]POOL-joueus'!$F$5:F$808)</f>
        <v>0</v>
      </c>
      <c r="H111" s="30">
        <f>SUMIF('[1]POOL-joueus'!$D$5:$D$808,C111,'[1]POOL-joueus'!$G$5:G$808)</f>
        <v>0</v>
      </c>
      <c r="I111" s="91">
        <f t="shared" si="4"/>
        <v>0</v>
      </c>
      <c r="J111" s="81">
        <f t="shared" si="5"/>
        <v>0</v>
      </c>
      <c r="K111" s="30">
        <f>SUMIF('[1]Pool-gardien'!$D$5:$D$127,C111,'[1]Pool-gardien'!$F$5:$F$127)</f>
        <v>0</v>
      </c>
      <c r="L111" s="30">
        <f>SUMIF('[1]Pool-gardien'!$D$5:$D$127,C111,'[1]Pool-gardien'!$G$5:$G$127)</f>
        <v>0</v>
      </c>
      <c r="M111" s="30">
        <f>SUMIF('[1]Pool-gardien'!$D$5:$D$127,C111,'[1]Pool-gardien'!$H$5:$H$127)</f>
        <v>0</v>
      </c>
      <c r="N111" s="91">
        <f>SUMIF('[1]Pool-gardien'!$D$5:$D$127,C111,'[1]Pool-gardien'!$K$5:$K$127)</f>
        <v>0</v>
      </c>
      <c r="O111" s="30">
        <f>SUMIF('[1]Equipes-Pool'!$B$6:$B$35,C111,'[1]Equipes-Pool'!$D$6:$D$35)</f>
        <v>0</v>
      </c>
      <c r="P111" s="30">
        <f>SUMIF('[1]Equipes-Pool'!$B$6:$B$35,C111,'[1]Equipes-Pool'!$E$6:$E$35)</f>
        <v>0</v>
      </c>
      <c r="Q111" s="30">
        <f>SUMIF('[1]Equipes-Pool'!$B$6:$B$35,C111,'[1]Equipes-Pool'!$F$6:$F$35)</f>
        <v>0</v>
      </c>
      <c r="R111" s="91">
        <f>SUMIF('[1]Equipes-Pool'!$B$6:$B$35,C111,'[1]Equipes-Pool'!$G$6:$G$35)</f>
        <v>0</v>
      </c>
    </row>
    <row r="112" spans="1:18" ht="15.75">
      <c r="A112" s="12" t="s">
        <v>189</v>
      </c>
      <c r="B112" s="14" t="s">
        <v>70</v>
      </c>
      <c r="C112" s="55" t="s">
        <v>143</v>
      </c>
      <c r="D112" s="62" t="s">
        <v>381</v>
      </c>
      <c r="E112" s="10" t="s">
        <v>39</v>
      </c>
      <c r="F112" s="84">
        <f>SUMIF('[1]POOL-joueus'!$D$5:$D$808,C112,'[1]POOL-joueus'!$E$5:$E$808)</f>
        <v>62</v>
      </c>
      <c r="G112" s="84">
        <f>SUMIF('[1]POOL-joueus'!$D$5:$D$808,C112,'[1]POOL-joueus'!$F$5:F$808)</f>
        <v>20</v>
      </c>
      <c r="H112" s="84">
        <f>SUMIF('[1]POOL-joueus'!$D$5:$D$808,C112,'[1]POOL-joueus'!$G$5:G$808)</f>
        <v>27</v>
      </c>
      <c r="I112" s="90">
        <f t="shared" si="4"/>
        <v>47</v>
      </c>
      <c r="J112" s="85">
        <f t="shared" si="5"/>
        <v>0.7580645161290323</v>
      </c>
      <c r="K112" s="30">
        <f>SUMIF('[1]Pool-gardien'!$D$5:$D$127,C112,'[1]Pool-gardien'!$F$5:$F$127)</f>
        <v>0</v>
      </c>
      <c r="L112" s="30">
        <f>SUMIF('[1]Pool-gardien'!$D$5:$D$127,C112,'[1]Pool-gardien'!$G$5:$G$127)</f>
        <v>0</v>
      </c>
      <c r="M112" s="30">
        <f>SUMIF('[1]Pool-gardien'!$D$5:$D$127,C112,'[1]Pool-gardien'!$H$5:$H$127)</f>
        <v>0</v>
      </c>
      <c r="N112" s="91">
        <f>SUMIF('[1]Pool-gardien'!$D$5:$D$127,C112,'[1]Pool-gardien'!$K$5:$K$127)</f>
        <v>0</v>
      </c>
      <c r="O112" s="30">
        <f>SUMIF('[1]Equipes-Pool'!$B$6:$B$35,C112,'[1]Equipes-Pool'!$D$6:$D$35)</f>
        <v>0</v>
      </c>
      <c r="P112" s="30">
        <f>SUMIF('[1]Equipes-Pool'!$B$6:$B$35,C112,'[1]Equipes-Pool'!$E$6:$E$35)</f>
        <v>0</v>
      </c>
      <c r="Q112" s="30">
        <f>SUMIF('[1]Equipes-Pool'!$B$6:$B$35,C112,'[1]Equipes-Pool'!$F$6:$F$35)</f>
        <v>0</v>
      </c>
      <c r="R112" s="91">
        <f>SUMIF('[1]Equipes-Pool'!$B$6:$B$35,C112,'[1]Equipes-Pool'!$G$6:$G$35)</f>
        <v>0</v>
      </c>
    </row>
    <row r="113" spans="1:18" ht="15.75">
      <c r="A113" s="12" t="s">
        <v>19</v>
      </c>
      <c r="B113" s="14" t="s">
        <v>20</v>
      </c>
      <c r="C113" s="55" t="s">
        <v>191</v>
      </c>
      <c r="D113" s="62" t="s">
        <v>381</v>
      </c>
      <c r="E113" s="10" t="s">
        <v>45</v>
      </c>
      <c r="F113" s="30">
        <f>SUMIF('[1]POOL-joueus'!$D$5:$D$808,C113,'[1]POOL-joueus'!$E$5:$E$808)</f>
        <v>14</v>
      </c>
      <c r="G113" s="30">
        <f>SUMIF('[1]POOL-joueus'!$D$5:$D$808,C113,'[1]POOL-joueus'!$F$5:F$808)</f>
        <v>1</v>
      </c>
      <c r="H113" s="30">
        <f>SUMIF('[1]POOL-joueus'!$D$5:$D$808,C113,'[1]POOL-joueus'!$G$5:G$808)</f>
        <v>0</v>
      </c>
      <c r="I113" s="91">
        <f t="shared" si="4"/>
        <v>1</v>
      </c>
      <c r="J113" s="81">
        <f t="shared" si="5"/>
        <v>0.07142857142857142</v>
      </c>
      <c r="K113" s="30">
        <f>SUMIF('[1]Pool-gardien'!$D$5:$D$127,C113,'[1]Pool-gardien'!$F$5:$F$127)</f>
        <v>0</v>
      </c>
      <c r="L113" s="30">
        <f>SUMIF('[1]Pool-gardien'!$D$5:$D$127,C113,'[1]Pool-gardien'!$G$5:$G$127)</f>
        <v>0</v>
      </c>
      <c r="M113" s="30">
        <f>SUMIF('[1]Pool-gardien'!$D$5:$D$127,C113,'[1]Pool-gardien'!$H$5:$H$127)</f>
        <v>0</v>
      </c>
      <c r="N113" s="91">
        <f>SUMIF('[1]Pool-gardien'!$D$5:$D$127,C113,'[1]Pool-gardien'!$K$5:$K$127)</f>
        <v>0</v>
      </c>
      <c r="O113" s="30">
        <f>SUMIF('[1]Equipes-Pool'!$B$6:$B$35,C113,'[1]Equipes-Pool'!$D$6:$D$35)</f>
        <v>0</v>
      </c>
      <c r="P113" s="30">
        <f>SUMIF('[1]Equipes-Pool'!$B$6:$B$35,C113,'[1]Equipes-Pool'!$E$6:$E$35)</f>
        <v>0</v>
      </c>
      <c r="Q113" s="30">
        <f>SUMIF('[1]Equipes-Pool'!$B$6:$B$35,C113,'[1]Equipes-Pool'!$F$6:$F$35)</f>
        <v>0</v>
      </c>
      <c r="R113" s="91">
        <f>SUMIF('[1]Equipes-Pool'!$B$6:$B$35,C113,'[1]Equipes-Pool'!$G$6:$G$35)</f>
        <v>0</v>
      </c>
    </row>
    <row r="114" spans="1:18" ht="15.75">
      <c r="A114" s="12" t="s">
        <v>33</v>
      </c>
      <c r="B114" s="14" t="s">
        <v>10</v>
      </c>
      <c r="C114" s="55" t="s">
        <v>193</v>
      </c>
      <c r="D114" s="62" t="s">
        <v>381</v>
      </c>
      <c r="E114" s="10" t="s">
        <v>49</v>
      </c>
      <c r="F114" s="84">
        <f>SUMIF('[1]POOL-joueus'!$D$5:$D$808,C114,'[1]POOL-joueus'!$E$5:$E$808)</f>
        <v>58</v>
      </c>
      <c r="G114" s="84">
        <f>SUMIF('[1]POOL-joueus'!$D$5:$D$808,C114,'[1]POOL-joueus'!$F$5:F$808)</f>
        <v>5</v>
      </c>
      <c r="H114" s="84">
        <f>SUMIF('[1]POOL-joueus'!$D$5:$D$808,C114,'[1]POOL-joueus'!$G$5:G$808)</f>
        <v>13</v>
      </c>
      <c r="I114" s="90">
        <f t="shared" si="4"/>
        <v>18</v>
      </c>
      <c r="J114" s="85">
        <f t="shared" si="5"/>
        <v>0.3103448275862069</v>
      </c>
      <c r="K114" s="30">
        <f>SUMIF('[1]Pool-gardien'!$D$5:$D$127,C114,'[1]Pool-gardien'!$F$5:$F$127)</f>
        <v>0</v>
      </c>
      <c r="L114" s="30">
        <f>SUMIF('[1]Pool-gardien'!$D$5:$D$127,C114,'[1]Pool-gardien'!$G$5:$G$127)</f>
        <v>0</v>
      </c>
      <c r="M114" s="30">
        <f>SUMIF('[1]Pool-gardien'!$D$5:$D$127,C114,'[1]Pool-gardien'!$H$5:$H$127)</f>
        <v>0</v>
      </c>
      <c r="N114" s="91">
        <f>SUMIF('[1]Pool-gardien'!$D$5:$D$127,C114,'[1]Pool-gardien'!$K$5:$K$127)</f>
        <v>0</v>
      </c>
      <c r="O114" s="30">
        <f>SUMIF('[1]Equipes-Pool'!$B$6:$B$35,C114,'[1]Equipes-Pool'!$D$6:$D$35)</f>
        <v>0</v>
      </c>
      <c r="P114" s="30">
        <f>SUMIF('[1]Equipes-Pool'!$B$6:$B$35,C114,'[1]Equipes-Pool'!$E$6:$E$35)</f>
        <v>0</v>
      </c>
      <c r="Q114" s="30">
        <f>SUMIF('[1]Equipes-Pool'!$B$6:$B$35,C114,'[1]Equipes-Pool'!$F$6:$F$35)</f>
        <v>0</v>
      </c>
      <c r="R114" s="91">
        <f>SUMIF('[1]Equipes-Pool'!$B$6:$B$35,C114,'[1]Equipes-Pool'!$G$6:$G$35)</f>
        <v>0</v>
      </c>
    </row>
    <row r="115" spans="1:18" ht="15.75">
      <c r="A115" s="12" t="s">
        <v>33</v>
      </c>
      <c r="B115" s="14" t="s">
        <v>29</v>
      </c>
      <c r="C115" s="55" t="s">
        <v>195</v>
      </c>
      <c r="D115" s="62" t="s">
        <v>381</v>
      </c>
      <c r="E115" s="10" t="s">
        <v>27</v>
      </c>
      <c r="F115" s="84">
        <f>SUMIF('[1]POOL-joueus'!$D$5:$D$808,C115,'[1]POOL-joueus'!$E$5:$E$808)</f>
        <v>66</v>
      </c>
      <c r="G115" s="84">
        <f>SUMIF('[1]POOL-joueus'!$D$5:$D$808,C115,'[1]POOL-joueus'!$F$5:F$808)</f>
        <v>5</v>
      </c>
      <c r="H115" s="84">
        <f>SUMIF('[1]POOL-joueus'!$D$5:$D$808,C115,'[1]POOL-joueus'!$G$5:G$808)</f>
        <v>30</v>
      </c>
      <c r="I115" s="90">
        <f t="shared" si="4"/>
        <v>35</v>
      </c>
      <c r="J115" s="85">
        <f t="shared" si="5"/>
        <v>0.5303030303030303</v>
      </c>
      <c r="K115" s="30">
        <f>SUMIF('[1]Pool-gardien'!$D$5:$D$127,C115,'[1]Pool-gardien'!$F$5:$F$127)</f>
        <v>0</v>
      </c>
      <c r="L115" s="30">
        <f>SUMIF('[1]Pool-gardien'!$D$5:$D$127,C115,'[1]Pool-gardien'!$G$5:$G$127)</f>
        <v>0</v>
      </c>
      <c r="M115" s="30">
        <f>SUMIF('[1]Pool-gardien'!$D$5:$D$127,C115,'[1]Pool-gardien'!$H$5:$H$127)</f>
        <v>0</v>
      </c>
      <c r="N115" s="91">
        <f>SUMIF('[1]Pool-gardien'!$D$5:$D$127,C115,'[1]Pool-gardien'!$K$5:$K$127)</f>
        <v>0</v>
      </c>
      <c r="O115" s="30">
        <f>SUMIF('[1]Equipes-Pool'!$B$6:$B$35,C115,'[1]Equipes-Pool'!$D$6:$D$35)</f>
        <v>0</v>
      </c>
      <c r="P115" s="30">
        <f>SUMIF('[1]Equipes-Pool'!$B$6:$B$35,C115,'[1]Equipes-Pool'!$E$6:$E$35)</f>
        <v>0</v>
      </c>
      <c r="Q115" s="30">
        <f>SUMIF('[1]Equipes-Pool'!$B$6:$B$35,C115,'[1]Equipes-Pool'!$F$6:$F$35)</f>
        <v>0</v>
      </c>
      <c r="R115" s="91">
        <f>SUMIF('[1]Equipes-Pool'!$B$6:$B$35,C115,'[1]Equipes-Pool'!$G$6:$G$35)</f>
        <v>0</v>
      </c>
    </row>
    <row r="116" spans="1:18" ht="15.75">
      <c r="A116" s="12" t="s">
        <v>33</v>
      </c>
      <c r="B116" s="14" t="s">
        <v>186</v>
      </c>
      <c r="C116" s="55" t="s">
        <v>197</v>
      </c>
      <c r="D116" s="62" t="s">
        <v>381</v>
      </c>
      <c r="E116" s="10" t="s">
        <v>60</v>
      </c>
      <c r="F116" s="84">
        <f>SUMIF('[1]POOL-joueus'!$D$5:$D$808,C116,'[1]POOL-joueus'!$E$5:$E$808)</f>
        <v>66</v>
      </c>
      <c r="G116" s="84">
        <f>SUMIF('[1]POOL-joueus'!$D$5:$D$808,C116,'[1]POOL-joueus'!$F$5:F$808)</f>
        <v>10</v>
      </c>
      <c r="H116" s="84">
        <f>SUMIF('[1]POOL-joueus'!$D$5:$D$808,C116,'[1]POOL-joueus'!$G$5:G$808)</f>
        <v>18</v>
      </c>
      <c r="I116" s="90">
        <f t="shared" si="4"/>
        <v>28</v>
      </c>
      <c r="J116" s="85">
        <f t="shared" si="5"/>
        <v>0.42424242424242425</v>
      </c>
      <c r="K116" s="30">
        <f>SUMIF('[1]Pool-gardien'!$D$5:$D$127,C116,'[1]Pool-gardien'!$F$5:$F$127)</f>
        <v>0</v>
      </c>
      <c r="L116" s="30">
        <f>SUMIF('[1]Pool-gardien'!$D$5:$D$127,C116,'[1]Pool-gardien'!$G$5:$G$127)</f>
        <v>0</v>
      </c>
      <c r="M116" s="30">
        <f>SUMIF('[1]Pool-gardien'!$D$5:$D$127,C116,'[1]Pool-gardien'!$H$5:$H$127)</f>
        <v>0</v>
      </c>
      <c r="N116" s="91">
        <f>SUMIF('[1]Pool-gardien'!$D$5:$D$127,C116,'[1]Pool-gardien'!$K$5:$K$127)</f>
        <v>0</v>
      </c>
      <c r="O116" s="30">
        <f>SUMIF('[1]Equipes-Pool'!$B$6:$B$35,C116,'[1]Equipes-Pool'!$D$6:$D$35)</f>
        <v>0</v>
      </c>
      <c r="P116" s="30">
        <f>SUMIF('[1]Equipes-Pool'!$B$6:$B$35,C116,'[1]Equipes-Pool'!$E$6:$E$35)</f>
        <v>0</v>
      </c>
      <c r="Q116" s="30">
        <f>SUMIF('[1]Equipes-Pool'!$B$6:$B$35,C116,'[1]Equipes-Pool'!$F$6:$F$35)</f>
        <v>0</v>
      </c>
      <c r="R116" s="91">
        <f>SUMIF('[1]Equipes-Pool'!$B$6:$B$35,C116,'[1]Equipes-Pool'!$G$6:$G$35)</f>
        <v>0</v>
      </c>
    </row>
    <row r="117" spans="1:18" ht="16.5" thickBot="1">
      <c r="A117" s="49" t="s">
        <v>33</v>
      </c>
      <c r="B117" s="50" t="s">
        <v>17</v>
      </c>
      <c r="C117" s="66" t="s">
        <v>199</v>
      </c>
      <c r="D117" s="64" t="s">
        <v>381</v>
      </c>
      <c r="E117" s="59" t="s">
        <v>65</v>
      </c>
      <c r="F117" s="96">
        <f>SUMIF('[1]POOL-joueus'!$D$5:$D$808,C117,'[1]POOL-joueus'!$E$5:$E$808)</f>
        <v>26</v>
      </c>
      <c r="G117" s="96">
        <f>SUMIF('[1]POOL-joueus'!$D$5:$D$808,C117,'[1]POOL-joueus'!$F$5:F$808)</f>
        <v>3</v>
      </c>
      <c r="H117" s="96">
        <f>SUMIF('[1]POOL-joueus'!$D$5:$D$808,C117,'[1]POOL-joueus'!$G$5:G$808)</f>
        <v>2</v>
      </c>
      <c r="I117" s="97">
        <f t="shared" si="4"/>
        <v>5</v>
      </c>
      <c r="J117" s="98">
        <f t="shared" si="5"/>
        <v>0.19230769230769232</v>
      </c>
      <c r="K117" s="99">
        <f>SUMIF('[1]Pool-gardien'!$D$5:$D$127,C117,'[1]Pool-gardien'!$F$5:$F$127)</f>
        <v>0</v>
      </c>
      <c r="L117" s="99">
        <f>SUMIF('[1]Pool-gardien'!$D$5:$D$127,C117,'[1]Pool-gardien'!$G$5:$G$127)</f>
        <v>0</v>
      </c>
      <c r="M117" s="99">
        <f>SUMIF('[1]Pool-gardien'!$D$5:$D$127,C117,'[1]Pool-gardien'!$H$5:$H$127)</f>
        <v>0</v>
      </c>
      <c r="N117" s="100">
        <f>SUMIF('[1]Pool-gardien'!$D$5:$D$127,C117,'[1]Pool-gardien'!$K$5:$K$127)</f>
        <v>0</v>
      </c>
      <c r="O117" s="99">
        <f>SUMIF('[1]Equipes-Pool'!$B$6:$B$35,C117,'[1]Equipes-Pool'!$D$6:$D$35)</f>
        <v>0</v>
      </c>
      <c r="P117" s="99">
        <f>SUMIF('[1]Equipes-Pool'!$B$6:$B$35,C117,'[1]Equipes-Pool'!$E$6:$E$35)</f>
        <v>0</v>
      </c>
      <c r="Q117" s="99">
        <f>SUMIF('[1]Equipes-Pool'!$B$6:$B$35,C117,'[1]Equipes-Pool'!$F$6:$F$35)</f>
        <v>0</v>
      </c>
      <c r="R117" s="100">
        <f>SUMIF('[1]Equipes-Pool'!$B$6:$B$35,C117,'[1]Equipes-Pool'!$G$6:$G$35)</f>
        <v>0</v>
      </c>
    </row>
    <row r="118" spans="1:18" ht="15.75">
      <c r="A118" s="17" t="s">
        <v>28</v>
      </c>
      <c r="B118" s="17" t="s">
        <v>154</v>
      </c>
      <c r="C118" s="69" t="s">
        <v>181</v>
      </c>
      <c r="D118" s="63" t="s">
        <v>382</v>
      </c>
      <c r="E118" s="65" t="s">
        <v>8</v>
      </c>
      <c r="F118" s="101">
        <f>SUMIF('[1]Pool-gardien'!$D$5:$D$127,C118,'[1]Pool-gardien'!$E$5:$E$127)</f>
        <v>16</v>
      </c>
      <c r="G118" s="101">
        <f>SUMIF('[1]Pool-gardien'!$D$5:$D$127,C118,'[1]Pool-gardien'!$I$5:$I$127)</f>
        <v>0</v>
      </c>
      <c r="H118" s="101">
        <f>SUMIF('[1]Pool-gardien'!$D$5:$D$127,C118,'[1]Pool-gardien'!$J$5:$J$127)</f>
        <v>1</v>
      </c>
      <c r="I118" s="102">
        <f t="shared" si="4"/>
        <v>1</v>
      </c>
      <c r="J118" s="87">
        <f t="shared" si="5"/>
        <v>0.0625</v>
      </c>
      <c r="K118" s="101">
        <f>SUMIF('[1]Pool-gardien'!$D$5:$D$127,C118,'[1]Pool-gardien'!$F$5:$F$127)</f>
        <v>5</v>
      </c>
      <c r="L118" s="101">
        <f>SUMIF('[1]Pool-gardien'!$D$5:$D$127,C118,'[1]Pool-gardien'!$G$5:$G$127)</f>
        <v>1</v>
      </c>
      <c r="M118" s="101">
        <f>SUMIF('[1]Pool-gardien'!$D$5:$D$127,C118,'[1]Pool-gardien'!$H$5:$H$127)</f>
        <v>1</v>
      </c>
      <c r="N118" s="102">
        <f>SUMIF('[1]Pool-gardien'!$D$5:$D$127,C118,'[1]Pool-gardien'!$K$5:$K$127)</f>
        <v>16</v>
      </c>
      <c r="O118" s="35">
        <f>SUMIF('[1]Equipes-Pool'!$B$6:$B$35,C118,'[1]Equipes-Pool'!$D$6:$D$35)</f>
        <v>0</v>
      </c>
      <c r="P118" s="35">
        <f>SUMIF('[1]Equipes-Pool'!$B$6:$B$35,C118,'[1]Equipes-Pool'!$E$6:$E$35)</f>
        <v>0</v>
      </c>
      <c r="Q118" s="35">
        <f>SUMIF('[1]Equipes-Pool'!$B$6:$B$35,C118,'[1]Equipes-Pool'!$F$6:$F$35)</f>
        <v>0</v>
      </c>
      <c r="R118" s="89">
        <f>SUMIF('[1]Equipes-Pool'!$B$6:$B$35,C118,'[1]Equipes-Pool'!$G$6:$G$35)</f>
        <v>0</v>
      </c>
    </row>
    <row r="119" spans="1:18" ht="15.75">
      <c r="A119" s="12" t="s">
        <v>33</v>
      </c>
      <c r="B119" s="14" t="s">
        <v>120</v>
      </c>
      <c r="C119" s="55" t="s">
        <v>183</v>
      </c>
      <c r="D119" s="62" t="s">
        <v>382</v>
      </c>
      <c r="E119" s="10" t="s">
        <v>16</v>
      </c>
      <c r="F119" s="84">
        <f>SUMIF('[1]POOL-joueus'!$D$5:$D$808,C119,'[1]POOL-joueus'!$E$5:$E$808)</f>
        <v>48</v>
      </c>
      <c r="G119" s="84">
        <f>SUMIF('[1]POOL-joueus'!$D$5:$D$808,C119,'[1]POOL-joueus'!$F$5:F$808)</f>
        <v>1</v>
      </c>
      <c r="H119" s="84">
        <f>SUMIF('[1]POOL-joueus'!$D$5:$D$808,C119,'[1]POOL-joueus'!$G$5:G$808)</f>
        <v>18</v>
      </c>
      <c r="I119" s="90">
        <f t="shared" si="4"/>
        <v>19</v>
      </c>
      <c r="J119" s="85">
        <f t="shared" si="5"/>
        <v>0.3958333333333333</v>
      </c>
      <c r="K119" s="30">
        <f>SUMIF('[1]Pool-gardien'!$D$5:$D$127,C119,'[1]Pool-gardien'!$F$5:$F$127)</f>
        <v>0</v>
      </c>
      <c r="L119" s="30">
        <f>SUMIF('[1]Pool-gardien'!$D$5:$D$127,C119,'[1]Pool-gardien'!$G$5:$G$127)</f>
        <v>0</v>
      </c>
      <c r="M119" s="30">
        <f>SUMIF('[1]Pool-gardien'!$D$5:$D$127,C119,'[1]Pool-gardien'!$H$5:$H$127)</f>
        <v>0</v>
      </c>
      <c r="N119" s="91">
        <f>SUMIF('[1]Pool-gardien'!$D$5:$D$127,C119,'[1]Pool-gardien'!$K$5:$K$127)</f>
        <v>0</v>
      </c>
      <c r="O119" s="30">
        <f>SUMIF('[1]Equipes-Pool'!$B$6:$B$35,C119,'[1]Equipes-Pool'!$D$6:$D$35)</f>
        <v>0</v>
      </c>
      <c r="P119" s="30">
        <f>SUMIF('[1]Equipes-Pool'!$B$6:$B$35,C119,'[1]Equipes-Pool'!$E$6:$E$35)</f>
        <v>0</v>
      </c>
      <c r="Q119" s="30">
        <f>SUMIF('[1]Equipes-Pool'!$B$6:$B$35,C119,'[1]Equipes-Pool'!$F$6:$F$35)</f>
        <v>0</v>
      </c>
      <c r="R119" s="91">
        <f>SUMIF('[1]Equipes-Pool'!$B$6:$B$35,C119,'[1]Equipes-Pool'!$G$6:$G$35)</f>
        <v>0</v>
      </c>
    </row>
    <row r="120" spans="1:18" ht="15.75">
      <c r="A120" s="12" t="s">
        <v>24</v>
      </c>
      <c r="B120" s="14" t="s">
        <v>78</v>
      </c>
      <c r="C120" s="55" t="s">
        <v>185</v>
      </c>
      <c r="D120" s="62" t="s">
        <v>382</v>
      </c>
      <c r="E120" s="10" t="s">
        <v>23</v>
      </c>
      <c r="F120" s="30">
        <f>SUMIF('[1]POOL-joueus'!$D$5:$D$808,C120,'[1]POOL-joueus'!$E$5:$E$808)</f>
        <v>0</v>
      </c>
      <c r="G120" s="30">
        <f>SUMIF('[1]POOL-joueus'!$D$5:$D$808,C120,'[1]POOL-joueus'!$F$5:F$808)</f>
        <v>0</v>
      </c>
      <c r="H120" s="30">
        <f>SUMIF('[1]POOL-joueus'!$D$5:$D$808,C120,'[1]POOL-joueus'!$G$5:G$808)</f>
        <v>0</v>
      </c>
      <c r="I120" s="91">
        <f t="shared" si="4"/>
        <v>0</v>
      </c>
      <c r="J120" s="81" t="e">
        <f t="shared" si="5"/>
        <v>#DIV/0!</v>
      </c>
      <c r="K120" s="30">
        <f>SUMIF('[1]Pool-gardien'!$D$5:$D$127,C120,'[1]Pool-gardien'!$F$5:$F$127)</f>
        <v>0</v>
      </c>
      <c r="L120" s="30">
        <f>SUMIF('[1]Pool-gardien'!$D$5:$D$127,C120,'[1]Pool-gardien'!$G$5:$G$127)</f>
        <v>0</v>
      </c>
      <c r="M120" s="30">
        <f>SUMIF('[1]Pool-gardien'!$D$5:$D$127,C120,'[1]Pool-gardien'!$H$5:$H$127)</f>
        <v>0</v>
      </c>
      <c r="N120" s="91">
        <f>SUMIF('[1]Pool-gardien'!$D$5:$D$127,C120,'[1]Pool-gardien'!$K$5:$K$127)</f>
        <v>0</v>
      </c>
      <c r="O120" s="30">
        <f>SUMIF('[1]Equipes-Pool'!$B$6:$B$35,C120,'[1]Equipes-Pool'!$D$6:$D$35)</f>
        <v>0</v>
      </c>
      <c r="P120" s="30">
        <f>SUMIF('[1]Equipes-Pool'!$B$6:$B$35,C120,'[1]Equipes-Pool'!$E$6:$E$35)</f>
        <v>0</v>
      </c>
      <c r="Q120" s="30">
        <f>SUMIF('[1]Equipes-Pool'!$B$6:$B$35,C120,'[1]Equipes-Pool'!$F$6:$F$35)</f>
        <v>0</v>
      </c>
      <c r="R120" s="91">
        <f>SUMIF('[1]Equipes-Pool'!$B$6:$B$35,C120,'[1]Equipes-Pool'!$G$6:$G$35)</f>
        <v>0</v>
      </c>
    </row>
    <row r="121" spans="1:18" ht="15.75">
      <c r="A121" s="12" t="s">
        <v>33</v>
      </c>
      <c r="B121" s="14" t="s">
        <v>13</v>
      </c>
      <c r="C121" s="55" t="s">
        <v>188</v>
      </c>
      <c r="D121" s="62" t="s">
        <v>382</v>
      </c>
      <c r="E121" s="10" t="s">
        <v>32</v>
      </c>
      <c r="F121" s="84">
        <f>SUMIF('[1]POOL-joueus'!$D$5:$D$808,C121,'[1]POOL-joueus'!$E$5:$E$808)</f>
        <v>56</v>
      </c>
      <c r="G121" s="84">
        <f>SUMIF('[1]POOL-joueus'!$D$5:$D$808,C121,'[1]POOL-joueus'!$F$5:F$808)</f>
        <v>4</v>
      </c>
      <c r="H121" s="84">
        <f>SUMIF('[1]POOL-joueus'!$D$5:$D$808,C121,'[1]POOL-joueus'!$G$5:G$808)</f>
        <v>20</v>
      </c>
      <c r="I121" s="90">
        <f t="shared" si="4"/>
        <v>24</v>
      </c>
      <c r="J121" s="85">
        <f t="shared" si="5"/>
        <v>0.42857142857142855</v>
      </c>
      <c r="K121" s="30">
        <f>SUMIF('[1]Pool-gardien'!$D$5:$D$127,C121,'[1]Pool-gardien'!$F$5:$F$127)</f>
        <v>0</v>
      </c>
      <c r="L121" s="30">
        <f>SUMIF('[1]Pool-gardien'!$D$5:$D$127,C121,'[1]Pool-gardien'!$G$5:$G$127)</f>
        <v>0</v>
      </c>
      <c r="M121" s="30">
        <f>SUMIF('[1]Pool-gardien'!$D$5:$D$127,C121,'[1]Pool-gardien'!$H$5:$H$127)</f>
        <v>0</v>
      </c>
      <c r="N121" s="91">
        <f>SUMIF('[1]Pool-gardien'!$D$5:$D$127,C121,'[1]Pool-gardien'!$K$5:$K$127)</f>
        <v>0</v>
      </c>
      <c r="O121" s="30">
        <f>SUMIF('[1]Equipes-Pool'!$B$6:$B$35,C121,'[1]Equipes-Pool'!$D$6:$D$35)</f>
        <v>0</v>
      </c>
      <c r="P121" s="30">
        <f>SUMIF('[1]Equipes-Pool'!$B$6:$B$35,C121,'[1]Equipes-Pool'!$E$6:$E$35)</f>
        <v>0</v>
      </c>
      <c r="Q121" s="30">
        <f>SUMIF('[1]Equipes-Pool'!$B$6:$B$35,C121,'[1]Equipes-Pool'!$F$6:$F$35)</f>
        <v>0</v>
      </c>
      <c r="R121" s="91">
        <f>SUMIF('[1]Equipes-Pool'!$B$6:$B$35,C121,'[1]Equipes-Pool'!$G$6:$G$35)</f>
        <v>0</v>
      </c>
    </row>
    <row r="122" spans="1:18" ht="15.75">
      <c r="A122" s="12" t="s">
        <v>33</v>
      </c>
      <c r="B122" s="14" t="s">
        <v>41</v>
      </c>
      <c r="C122" s="55" t="s">
        <v>190</v>
      </c>
      <c r="D122" s="62" t="s">
        <v>382</v>
      </c>
      <c r="E122" s="10" t="s">
        <v>39</v>
      </c>
      <c r="F122" s="84">
        <f>SUMIF('[1]POOL-joueus'!$D$5:$D$808,C122,'[1]POOL-joueus'!$E$5:$E$808)</f>
        <v>40</v>
      </c>
      <c r="G122" s="84">
        <f>SUMIF('[1]POOL-joueus'!$D$5:$D$808,C122,'[1]POOL-joueus'!$F$5:F$808)</f>
        <v>3</v>
      </c>
      <c r="H122" s="84">
        <f>SUMIF('[1]POOL-joueus'!$D$5:$D$808,C122,'[1]POOL-joueus'!$G$5:G$808)</f>
        <v>10</v>
      </c>
      <c r="I122" s="90">
        <f t="shared" si="4"/>
        <v>13</v>
      </c>
      <c r="J122" s="85">
        <f t="shared" si="5"/>
        <v>0.325</v>
      </c>
      <c r="K122" s="30">
        <f>SUMIF('[1]Pool-gardien'!$D$5:$D$127,C122,'[1]Pool-gardien'!$F$5:$F$127)</f>
        <v>0</v>
      </c>
      <c r="L122" s="30">
        <f>SUMIF('[1]Pool-gardien'!$D$5:$D$127,C122,'[1]Pool-gardien'!$G$5:$G$127)</f>
        <v>0</v>
      </c>
      <c r="M122" s="30">
        <f>SUMIF('[1]Pool-gardien'!$D$5:$D$127,C122,'[1]Pool-gardien'!$H$5:$H$127)</f>
        <v>0</v>
      </c>
      <c r="N122" s="91">
        <f>SUMIF('[1]Pool-gardien'!$D$5:$D$127,C122,'[1]Pool-gardien'!$K$5:$K$127)</f>
        <v>0</v>
      </c>
      <c r="O122" s="30">
        <f>SUMIF('[1]Equipes-Pool'!$B$6:$B$35,C122,'[1]Equipes-Pool'!$D$6:$D$35)</f>
        <v>0</v>
      </c>
      <c r="P122" s="30">
        <f>SUMIF('[1]Equipes-Pool'!$B$6:$B$35,C122,'[1]Equipes-Pool'!$E$6:$E$35)</f>
        <v>0</v>
      </c>
      <c r="Q122" s="30">
        <f>SUMIF('[1]Equipes-Pool'!$B$6:$B$35,C122,'[1]Equipes-Pool'!$F$6:$F$35)</f>
        <v>0</v>
      </c>
      <c r="R122" s="91">
        <f>SUMIF('[1]Equipes-Pool'!$B$6:$B$35,C122,'[1]Equipes-Pool'!$G$6:$G$35)</f>
        <v>0</v>
      </c>
    </row>
    <row r="123" spans="1:18" ht="15.75">
      <c r="A123" s="12" t="s">
        <v>9</v>
      </c>
      <c r="B123" s="14" t="s">
        <v>57</v>
      </c>
      <c r="C123" s="55" t="s">
        <v>192</v>
      </c>
      <c r="D123" s="62" t="s">
        <v>382</v>
      </c>
      <c r="E123" s="10" t="s">
        <v>45</v>
      </c>
      <c r="F123" s="30">
        <f>SUMIF('[1]POOL-joueus'!$D$5:$D$808,C123,'[1]POOL-joueus'!$E$5:$E$808)</f>
        <v>60</v>
      </c>
      <c r="G123" s="30">
        <f>SUMIF('[1]POOL-joueus'!$D$5:$D$808,C123,'[1]POOL-joueus'!$F$5:F$808)</f>
        <v>17</v>
      </c>
      <c r="H123" s="30">
        <f>SUMIF('[1]POOL-joueus'!$D$5:$D$808,C123,'[1]POOL-joueus'!$G$5:G$808)</f>
        <v>22</v>
      </c>
      <c r="I123" s="91">
        <f t="shared" si="4"/>
        <v>39</v>
      </c>
      <c r="J123" s="81">
        <f t="shared" si="5"/>
        <v>0.65</v>
      </c>
      <c r="K123" s="30">
        <f>SUMIF('[1]Pool-gardien'!$D$5:$D$127,C123,'[1]Pool-gardien'!$F$5:$F$127)</f>
        <v>0</v>
      </c>
      <c r="L123" s="30">
        <f>SUMIF('[1]Pool-gardien'!$D$5:$D$127,C123,'[1]Pool-gardien'!$G$5:$G$127)</f>
        <v>0</v>
      </c>
      <c r="M123" s="30">
        <f>SUMIF('[1]Pool-gardien'!$D$5:$D$127,C123,'[1]Pool-gardien'!$H$5:$H$127)</f>
        <v>0</v>
      </c>
      <c r="N123" s="91">
        <f>SUMIF('[1]Pool-gardien'!$D$5:$D$127,C123,'[1]Pool-gardien'!$K$5:$K$127)</f>
        <v>0</v>
      </c>
      <c r="O123" s="30">
        <f>SUMIF('[1]Equipes-Pool'!$B$6:$B$35,C123,'[1]Equipes-Pool'!$D$6:$D$35)</f>
        <v>0</v>
      </c>
      <c r="P123" s="30">
        <f>SUMIF('[1]Equipes-Pool'!$B$6:$B$35,C123,'[1]Equipes-Pool'!$E$6:$E$35)</f>
        <v>0</v>
      </c>
      <c r="Q123" s="30">
        <f>SUMIF('[1]Equipes-Pool'!$B$6:$B$35,C123,'[1]Equipes-Pool'!$F$6:$F$35)</f>
        <v>0</v>
      </c>
      <c r="R123" s="91">
        <f>SUMIF('[1]Equipes-Pool'!$B$6:$B$35,C123,'[1]Equipes-Pool'!$G$6:$G$35)</f>
        <v>0</v>
      </c>
    </row>
    <row r="124" spans="1:18" ht="15.75">
      <c r="A124" s="12" t="s">
        <v>33</v>
      </c>
      <c r="B124" s="14" t="s">
        <v>78</v>
      </c>
      <c r="C124" s="55" t="s">
        <v>194</v>
      </c>
      <c r="D124" s="62" t="s">
        <v>382</v>
      </c>
      <c r="E124" s="10" t="s">
        <v>52</v>
      </c>
      <c r="F124" s="84">
        <f>SUMIF('[1]POOL-joueus'!$D$5:$D$808,C124,'[1]POOL-joueus'!$E$5:$E$808)</f>
        <v>51</v>
      </c>
      <c r="G124" s="84">
        <f>SUMIF('[1]POOL-joueus'!$D$5:$D$808,C124,'[1]POOL-joueus'!$F$5:F$808)</f>
        <v>4</v>
      </c>
      <c r="H124" s="84">
        <f>SUMIF('[1]POOL-joueus'!$D$5:$D$808,C124,'[1]POOL-joueus'!$G$5:G$808)</f>
        <v>28</v>
      </c>
      <c r="I124" s="90">
        <f t="shared" si="4"/>
        <v>32</v>
      </c>
      <c r="J124" s="85">
        <f t="shared" si="5"/>
        <v>0.6274509803921569</v>
      </c>
      <c r="K124" s="30">
        <f>SUMIF('[1]Pool-gardien'!$D$5:$D$127,C124,'[1]Pool-gardien'!$F$5:$F$127)</f>
        <v>0</v>
      </c>
      <c r="L124" s="30">
        <f>SUMIF('[1]Pool-gardien'!$D$5:$D$127,C124,'[1]Pool-gardien'!$G$5:$G$127)</f>
        <v>0</v>
      </c>
      <c r="M124" s="30">
        <f>SUMIF('[1]Pool-gardien'!$D$5:$D$127,C124,'[1]Pool-gardien'!$H$5:$H$127)</f>
        <v>0</v>
      </c>
      <c r="N124" s="91">
        <f>SUMIF('[1]Pool-gardien'!$D$5:$D$127,C124,'[1]Pool-gardien'!$K$5:$K$127)</f>
        <v>0</v>
      </c>
      <c r="O124" s="30">
        <f>SUMIF('[1]Equipes-Pool'!$B$6:$B$35,C124,'[1]Equipes-Pool'!$D$6:$D$35)</f>
        <v>0</v>
      </c>
      <c r="P124" s="30">
        <f>SUMIF('[1]Equipes-Pool'!$B$6:$B$35,C124,'[1]Equipes-Pool'!$E$6:$E$35)</f>
        <v>0</v>
      </c>
      <c r="Q124" s="30">
        <f>SUMIF('[1]Equipes-Pool'!$B$6:$B$35,C124,'[1]Equipes-Pool'!$F$6:$F$35)</f>
        <v>0</v>
      </c>
      <c r="R124" s="91">
        <f>SUMIF('[1]Equipes-Pool'!$B$6:$B$35,C124,'[1]Equipes-Pool'!$G$6:$G$35)</f>
        <v>0</v>
      </c>
    </row>
    <row r="125" spans="1:18" ht="15.75">
      <c r="A125" s="12" t="s">
        <v>12</v>
      </c>
      <c r="B125" s="14" t="s">
        <v>13</v>
      </c>
      <c r="C125" s="55" t="s">
        <v>196</v>
      </c>
      <c r="D125" s="62" t="s">
        <v>382</v>
      </c>
      <c r="E125" s="10" t="s">
        <v>27</v>
      </c>
      <c r="F125" s="84">
        <f>SUMIF('[1]POOL-joueus'!$D$5:$D$808,C125,'[1]POOL-joueus'!$E$5:$E$808)</f>
        <v>64</v>
      </c>
      <c r="G125" s="84">
        <f>SUMIF('[1]POOL-joueus'!$D$5:$D$808,C125,'[1]POOL-joueus'!$F$5:F$808)</f>
        <v>21</v>
      </c>
      <c r="H125" s="84">
        <f>SUMIF('[1]POOL-joueus'!$D$5:$D$808,C125,'[1]POOL-joueus'!$G$5:G$808)</f>
        <v>35</v>
      </c>
      <c r="I125" s="90">
        <f t="shared" si="4"/>
        <v>56</v>
      </c>
      <c r="J125" s="85">
        <f t="shared" si="5"/>
        <v>0.875</v>
      </c>
      <c r="K125" s="30">
        <f>SUMIF('[1]Pool-gardien'!$D$5:$D$127,C125,'[1]Pool-gardien'!$F$5:$F$127)</f>
        <v>0</v>
      </c>
      <c r="L125" s="30">
        <f>SUMIF('[1]Pool-gardien'!$D$5:$D$127,C125,'[1]Pool-gardien'!$G$5:$G$127)</f>
        <v>0</v>
      </c>
      <c r="M125" s="30">
        <f>SUMIF('[1]Pool-gardien'!$D$5:$D$127,C125,'[1]Pool-gardien'!$H$5:$H$127)</f>
        <v>0</v>
      </c>
      <c r="N125" s="91">
        <f>SUMIF('[1]Pool-gardien'!$D$5:$D$127,C125,'[1]Pool-gardien'!$K$5:$K$127)</f>
        <v>0</v>
      </c>
      <c r="O125" s="30">
        <f>SUMIF('[1]Equipes-Pool'!$B$6:$B$35,C125,'[1]Equipes-Pool'!$D$6:$D$35)</f>
        <v>0</v>
      </c>
      <c r="P125" s="30">
        <f>SUMIF('[1]Equipes-Pool'!$B$6:$B$35,C125,'[1]Equipes-Pool'!$E$6:$E$35)</f>
        <v>0</v>
      </c>
      <c r="Q125" s="30">
        <f>SUMIF('[1]Equipes-Pool'!$B$6:$B$35,C125,'[1]Equipes-Pool'!$F$6:$F$35)</f>
        <v>0</v>
      </c>
      <c r="R125" s="91">
        <f>SUMIF('[1]Equipes-Pool'!$B$6:$B$35,C125,'[1]Equipes-Pool'!$G$6:$G$35)</f>
        <v>0</v>
      </c>
    </row>
    <row r="126" spans="1:18" ht="15.75">
      <c r="A126" s="17" t="s">
        <v>28</v>
      </c>
      <c r="B126" s="18" t="s">
        <v>125</v>
      </c>
      <c r="C126" s="68" t="s">
        <v>198</v>
      </c>
      <c r="D126" s="62" t="s">
        <v>382</v>
      </c>
      <c r="E126" s="10" t="s">
        <v>62</v>
      </c>
      <c r="F126" s="82">
        <f>SUMIF('[1]Pool-gardien'!$D$5:$D$127,C126,'[1]Pool-gardien'!$E$5:$E$127)</f>
        <v>39</v>
      </c>
      <c r="G126" s="82">
        <f>SUMIF('[1]Pool-gardien'!$D$5:$D$127,C126,'[1]Pool-gardien'!$I$5:$I$127)</f>
        <v>0</v>
      </c>
      <c r="H126" s="82">
        <f>SUMIF('[1]Pool-gardien'!$D$5:$D$127,C126,'[1]Pool-gardien'!$J$5:$J$127)</f>
        <v>1</v>
      </c>
      <c r="I126" s="92">
        <f t="shared" si="4"/>
        <v>1</v>
      </c>
      <c r="J126" s="81">
        <f t="shared" si="5"/>
        <v>0.02564102564102564</v>
      </c>
      <c r="K126" s="82">
        <f>SUMIF('[1]Pool-gardien'!$D$5:$D$127,C126,'[1]Pool-gardien'!$F$5:$F$127)</f>
        <v>15</v>
      </c>
      <c r="L126" s="82">
        <f>SUMIF('[1]Pool-gardien'!$D$5:$D$127,C126,'[1]Pool-gardien'!$G$5:$G$127)</f>
        <v>3</v>
      </c>
      <c r="M126" s="82">
        <f>SUMIF('[1]Pool-gardien'!$D$5:$D$127,C126,'[1]Pool-gardien'!$H$5:$H$127)</f>
        <v>2</v>
      </c>
      <c r="N126" s="92">
        <f>SUMIF('[1]Pool-gardien'!$D$5:$D$127,C126,'[1]Pool-gardien'!$K$5:$K$127)</f>
        <v>42</v>
      </c>
      <c r="O126" s="30">
        <f>SUMIF('[1]Equipes-Pool'!$B$6:$B$35,C126,'[1]Equipes-Pool'!$D$6:$D$35)</f>
        <v>0</v>
      </c>
      <c r="P126" s="30">
        <f>SUMIF('[1]Equipes-Pool'!$B$6:$B$35,C126,'[1]Equipes-Pool'!$E$6:$E$35)</f>
        <v>0</v>
      </c>
      <c r="Q126" s="30">
        <f>SUMIF('[1]Equipes-Pool'!$B$6:$B$35,C126,'[1]Equipes-Pool'!$F$6:$F$35)</f>
        <v>0</v>
      </c>
      <c r="R126" s="91">
        <f>SUMIF('[1]Equipes-Pool'!$B$6:$B$35,C126,'[1]Equipes-Pool'!$G$6:$G$35)</f>
        <v>0</v>
      </c>
    </row>
    <row r="127" spans="1:18" ht="16.5" thickBot="1">
      <c r="A127" s="53" t="s">
        <v>28</v>
      </c>
      <c r="B127" s="54" t="s">
        <v>57</v>
      </c>
      <c r="C127" s="71" t="s">
        <v>200</v>
      </c>
      <c r="D127" s="64" t="s">
        <v>382</v>
      </c>
      <c r="E127" s="59" t="s">
        <v>65</v>
      </c>
      <c r="F127" s="104">
        <f>SUMIF('[1]Pool-gardien'!$D$5:$D$127,C127,'[1]Pool-gardien'!$E$5:$E$127)</f>
        <v>29</v>
      </c>
      <c r="G127" s="104">
        <f>SUMIF('[1]Pool-gardien'!$D$5:$D$127,C127,'[1]Pool-gardien'!$I$5:$I$127)</f>
        <v>0</v>
      </c>
      <c r="H127" s="104">
        <f>SUMIF('[1]Pool-gardien'!$D$5:$D$127,C127,'[1]Pool-gardien'!$J$5:$J$127)</f>
        <v>0</v>
      </c>
      <c r="I127" s="105">
        <f t="shared" si="4"/>
        <v>0</v>
      </c>
      <c r="J127" s="103">
        <f t="shared" si="5"/>
        <v>0</v>
      </c>
      <c r="K127" s="104">
        <f>SUMIF('[1]Pool-gardien'!$D$5:$D$127,C127,'[1]Pool-gardien'!$F$5:$F$127)</f>
        <v>13</v>
      </c>
      <c r="L127" s="104">
        <f>SUMIF('[1]Pool-gardien'!$D$5:$D$127,C127,'[1]Pool-gardien'!$G$5:$G$127)</f>
        <v>2</v>
      </c>
      <c r="M127" s="104">
        <f>SUMIF('[1]Pool-gardien'!$D$5:$D$127,C127,'[1]Pool-gardien'!$H$5:$H$127)</f>
        <v>0</v>
      </c>
      <c r="N127" s="105">
        <f>SUMIF('[1]Pool-gardien'!$D$5:$D$127,C127,'[1]Pool-gardien'!$K$5:$K$127)</f>
        <v>28</v>
      </c>
      <c r="O127" s="99">
        <f>SUMIF('[1]Equipes-Pool'!$B$6:$B$35,C127,'[1]Equipes-Pool'!$D$6:$D$35)</f>
        <v>0</v>
      </c>
      <c r="P127" s="99">
        <f>SUMIF('[1]Equipes-Pool'!$B$6:$B$35,C127,'[1]Equipes-Pool'!$E$6:$E$35)</f>
        <v>0</v>
      </c>
      <c r="Q127" s="99">
        <f>SUMIF('[1]Equipes-Pool'!$B$6:$B$35,C127,'[1]Equipes-Pool'!$F$6:$F$35)</f>
        <v>0</v>
      </c>
      <c r="R127" s="100">
        <f>SUMIF('[1]Equipes-Pool'!$B$6:$B$35,C127,'[1]Equipes-Pool'!$G$6:$G$35)</f>
        <v>0</v>
      </c>
    </row>
    <row r="128" spans="1:18" ht="15.75">
      <c r="A128" s="20" t="s">
        <v>33</v>
      </c>
      <c r="B128" s="21" t="s">
        <v>10</v>
      </c>
      <c r="C128" s="67" t="s">
        <v>203</v>
      </c>
      <c r="D128" s="63" t="s">
        <v>383</v>
      </c>
      <c r="E128" s="65" t="s">
        <v>8</v>
      </c>
      <c r="F128" s="40">
        <f>SUMIF('[1]POOL-joueus'!$D$5:$D$808,C128,'[1]POOL-joueus'!$E$5:$E$808)</f>
        <v>42</v>
      </c>
      <c r="G128" s="40">
        <f>SUMIF('[1]POOL-joueus'!$D$5:$D$808,C128,'[1]POOL-joueus'!$F$5:F$808)</f>
        <v>2</v>
      </c>
      <c r="H128" s="40">
        <f>SUMIF('[1]POOL-joueus'!$D$5:$D$808,C128,'[1]POOL-joueus'!$G$5:G$808)</f>
        <v>11</v>
      </c>
      <c r="I128" s="94">
        <f t="shared" si="4"/>
        <v>13</v>
      </c>
      <c r="J128" s="95">
        <f t="shared" si="5"/>
        <v>0.30952380952380953</v>
      </c>
      <c r="K128" s="35">
        <f>SUMIF('[1]Pool-gardien'!$D$5:$D$127,C128,'[1]Pool-gardien'!$F$5:$F$127)</f>
        <v>0</v>
      </c>
      <c r="L128" s="35">
        <f>SUMIF('[1]Pool-gardien'!$D$5:$D$127,C128,'[1]Pool-gardien'!$G$5:$G$127)</f>
        <v>0</v>
      </c>
      <c r="M128" s="35">
        <f>SUMIF('[1]Pool-gardien'!$D$5:$D$127,C128,'[1]Pool-gardien'!$H$5:$H$127)</f>
        <v>0</v>
      </c>
      <c r="N128" s="89">
        <f>SUMIF('[1]Pool-gardien'!$D$5:$D$127,C128,'[1]Pool-gardien'!$K$5:$K$127)</f>
        <v>0</v>
      </c>
      <c r="O128" s="35">
        <f>SUMIF('[1]Equipes-Pool'!$B$6:$B$35,C128,'[1]Equipes-Pool'!$D$6:$D$35)</f>
        <v>0</v>
      </c>
      <c r="P128" s="35">
        <f>SUMIF('[1]Equipes-Pool'!$B$6:$B$35,C128,'[1]Equipes-Pool'!$E$6:$E$35)</f>
        <v>0</v>
      </c>
      <c r="Q128" s="35">
        <f>SUMIF('[1]Equipes-Pool'!$B$6:$B$35,C128,'[1]Equipes-Pool'!$F$6:$F$35)</f>
        <v>0</v>
      </c>
      <c r="R128" s="89">
        <f>SUMIF('[1]Equipes-Pool'!$B$6:$B$35,C128,'[1]Equipes-Pool'!$G$6:$G$35)</f>
        <v>0</v>
      </c>
    </row>
    <row r="129" spans="1:18" ht="15.75">
      <c r="A129" s="18" t="s">
        <v>93</v>
      </c>
      <c r="B129" s="18" t="s">
        <v>125</v>
      </c>
      <c r="C129" s="68" t="s">
        <v>205</v>
      </c>
      <c r="D129" s="62" t="s">
        <v>383</v>
      </c>
      <c r="E129" s="10" t="s">
        <v>16</v>
      </c>
      <c r="F129" s="30">
        <f>SUMIF('[1]Pool-gardien'!$D$5:$D$127,C129,'[1]Pool-gardien'!$E$5:$E$127)</f>
        <v>11</v>
      </c>
      <c r="G129" s="30">
        <f>SUMIF('[1]Pool-gardien'!$D$5:$D$127,C129,'[1]Pool-gardien'!$I$5:$I$127)</f>
        <v>0</v>
      </c>
      <c r="H129" s="30">
        <f>SUMIF('[1]Pool-gardien'!$D$5:$D$127,C129,'[1]Pool-gardien'!$J$5:$J$127)</f>
        <v>0</v>
      </c>
      <c r="I129" s="91">
        <f t="shared" si="4"/>
        <v>0</v>
      </c>
      <c r="J129" s="81">
        <f t="shared" si="5"/>
        <v>0</v>
      </c>
      <c r="K129" s="30">
        <f>SUMIF('[1]Pool-gardien'!$D$5:$D$127,C129,'[1]Pool-gardien'!$F$5:$F$127)</f>
        <v>3</v>
      </c>
      <c r="L129" s="30">
        <f>SUMIF('[1]Pool-gardien'!$D$5:$D$127,C129,'[1]Pool-gardien'!$G$5:$G$127)</f>
        <v>0</v>
      </c>
      <c r="M129" s="30">
        <f>SUMIF('[1]Pool-gardien'!$D$5:$D$127,C129,'[1]Pool-gardien'!$H$5:$H$127)</f>
        <v>0</v>
      </c>
      <c r="N129" s="91">
        <f>SUMIF('[1]Pool-gardien'!$D$5:$D$127,C129,'[1]Pool-gardien'!$K$5:$K$127)</f>
        <v>6</v>
      </c>
      <c r="O129" s="30">
        <f>SUMIF('[1]Equipes-Pool'!$B$6:$B$35,C129,'[1]Equipes-Pool'!$D$6:$D$35)</f>
        <v>0</v>
      </c>
      <c r="P129" s="30">
        <f>SUMIF('[1]Equipes-Pool'!$B$6:$B$35,C129,'[1]Equipes-Pool'!$E$6:$E$35)</f>
        <v>0</v>
      </c>
      <c r="Q129" s="30">
        <f>SUMIF('[1]Equipes-Pool'!$B$6:$B$35,C129,'[1]Equipes-Pool'!$F$6:$F$35)</f>
        <v>0</v>
      </c>
      <c r="R129" s="91">
        <f>SUMIF('[1]Equipes-Pool'!$B$6:$B$35,C129,'[1]Equipes-Pool'!$G$6:$G$35)</f>
        <v>0</v>
      </c>
    </row>
    <row r="130" spans="1:18" ht="15.75">
      <c r="A130" s="12" t="s">
        <v>40</v>
      </c>
      <c r="B130" s="14" t="s">
        <v>140</v>
      </c>
      <c r="C130" s="55" t="s">
        <v>207</v>
      </c>
      <c r="D130" s="62" t="s">
        <v>383</v>
      </c>
      <c r="E130" s="10" t="s">
        <v>23</v>
      </c>
      <c r="F130" s="84">
        <f>SUMIF('[1]POOL-joueus'!$D$5:$D$808,C130,'[1]POOL-joueus'!$E$5:$E$808)</f>
        <v>23</v>
      </c>
      <c r="G130" s="84">
        <f>SUMIF('[1]POOL-joueus'!$D$5:$D$808,C130,'[1]POOL-joueus'!$F$5:F$808)</f>
        <v>7</v>
      </c>
      <c r="H130" s="84">
        <f>SUMIF('[1]POOL-joueus'!$D$5:$D$808,C130,'[1]POOL-joueus'!$G$5:G$808)</f>
        <v>9</v>
      </c>
      <c r="I130" s="90">
        <f t="shared" si="4"/>
        <v>16</v>
      </c>
      <c r="J130" s="85">
        <f t="shared" si="5"/>
        <v>0.6956521739130435</v>
      </c>
      <c r="K130" s="30">
        <f>SUMIF('[1]Pool-gardien'!$D$5:$D$127,C130,'[1]Pool-gardien'!$F$5:$F$127)</f>
        <v>0</v>
      </c>
      <c r="L130" s="30">
        <f>SUMIF('[1]Pool-gardien'!$D$5:$D$127,C130,'[1]Pool-gardien'!$G$5:$G$127)</f>
        <v>0</v>
      </c>
      <c r="M130" s="30">
        <f>SUMIF('[1]Pool-gardien'!$D$5:$D$127,C130,'[1]Pool-gardien'!$H$5:$H$127)</f>
        <v>0</v>
      </c>
      <c r="N130" s="91">
        <f>SUMIF('[1]Pool-gardien'!$D$5:$D$127,C130,'[1]Pool-gardien'!$K$5:$K$127)</f>
        <v>0</v>
      </c>
      <c r="O130" s="30">
        <f>SUMIF('[1]Equipes-Pool'!$B$6:$B$35,C130,'[1]Equipes-Pool'!$D$6:$D$35)</f>
        <v>0</v>
      </c>
      <c r="P130" s="30">
        <f>SUMIF('[1]Equipes-Pool'!$B$6:$B$35,C130,'[1]Equipes-Pool'!$E$6:$E$35)</f>
        <v>0</v>
      </c>
      <c r="Q130" s="30">
        <f>SUMIF('[1]Equipes-Pool'!$B$6:$B$35,C130,'[1]Equipes-Pool'!$F$6:$F$35)</f>
        <v>0</v>
      </c>
      <c r="R130" s="91">
        <f>SUMIF('[1]Equipes-Pool'!$B$6:$B$35,C130,'[1]Equipes-Pool'!$G$6:$G$35)</f>
        <v>0</v>
      </c>
    </row>
    <row r="131" spans="1:18" ht="15.75">
      <c r="A131" s="12" t="s">
        <v>12</v>
      </c>
      <c r="B131" s="14" t="s">
        <v>10</v>
      </c>
      <c r="C131" s="55" t="s">
        <v>209</v>
      </c>
      <c r="D131" s="62" t="s">
        <v>383</v>
      </c>
      <c r="E131" s="10" t="s">
        <v>32</v>
      </c>
      <c r="F131" s="84">
        <f>SUMIF('[1]POOL-joueus'!$D$5:$D$808,C131,'[1]POOL-joueus'!$E$5:$E$808)</f>
        <v>57</v>
      </c>
      <c r="G131" s="84">
        <f>SUMIF('[1]POOL-joueus'!$D$5:$D$808,C131,'[1]POOL-joueus'!$F$5:F$808)</f>
        <v>7</v>
      </c>
      <c r="H131" s="84">
        <f>SUMIF('[1]POOL-joueus'!$D$5:$D$808,C131,'[1]POOL-joueus'!$G$5:G$808)</f>
        <v>14</v>
      </c>
      <c r="I131" s="90">
        <f t="shared" si="4"/>
        <v>21</v>
      </c>
      <c r="J131" s="85">
        <f t="shared" si="5"/>
        <v>0.3684210526315789</v>
      </c>
      <c r="K131" s="30">
        <f>SUMIF('[1]Pool-gardien'!$D$5:$D$127,C131,'[1]Pool-gardien'!$F$5:$F$127)</f>
        <v>0</v>
      </c>
      <c r="L131" s="30">
        <f>SUMIF('[1]Pool-gardien'!$D$5:$D$127,C131,'[1]Pool-gardien'!$G$5:$G$127)</f>
        <v>0</v>
      </c>
      <c r="M131" s="30">
        <f>SUMIF('[1]Pool-gardien'!$D$5:$D$127,C131,'[1]Pool-gardien'!$H$5:$H$127)</f>
        <v>0</v>
      </c>
      <c r="N131" s="91">
        <f>SUMIF('[1]Pool-gardien'!$D$5:$D$127,C131,'[1]Pool-gardien'!$K$5:$K$127)</f>
        <v>0</v>
      </c>
      <c r="O131" s="30">
        <f>SUMIF('[1]Equipes-Pool'!$B$6:$B$35,C131,'[1]Equipes-Pool'!$D$6:$D$35)</f>
        <v>0</v>
      </c>
      <c r="P131" s="30">
        <f>SUMIF('[1]Equipes-Pool'!$B$6:$B$35,C131,'[1]Equipes-Pool'!$E$6:$E$35)</f>
        <v>0</v>
      </c>
      <c r="Q131" s="30">
        <f>SUMIF('[1]Equipes-Pool'!$B$6:$B$35,C131,'[1]Equipes-Pool'!$F$6:$F$35)</f>
        <v>0</v>
      </c>
      <c r="R131" s="91">
        <f>SUMIF('[1]Equipes-Pool'!$B$6:$B$35,C131,'[1]Equipes-Pool'!$G$6:$G$35)</f>
        <v>0</v>
      </c>
    </row>
    <row r="132" spans="1:18" ht="15.75">
      <c r="A132" s="12" t="s">
        <v>211</v>
      </c>
      <c r="B132" s="14" t="s">
        <v>81</v>
      </c>
      <c r="C132" s="55" t="s">
        <v>212</v>
      </c>
      <c r="D132" s="62" t="s">
        <v>383</v>
      </c>
      <c r="E132" s="10" t="s">
        <v>39</v>
      </c>
      <c r="F132" s="84">
        <f>SUMIF('[1]POOL-joueus'!$D$5:$D$808,C132,'[1]POOL-joueus'!$E$5:$E$808)</f>
        <v>50</v>
      </c>
      <c r="G132" s="84">
        <f>SUMIF('[1]POOL-joueus'!$D$5:$D$808,C132,'[1]POOL-joueus'!$F$5:F$808)</f>
        <v>13</v>
      </c>
      <c r="H132" s="84">
        <f>SUMIF('[1]POOL-joueus'!$D$5:$D$808,C132,'[1]POOL-joueus'!$G$5:G$808)</f>
        <v>16</v>
      </c>
      <c r="I132" s="90">
        <f t="shared" si="4"/>
        <v>29</v>
      </c>
      <c r="J132" s="85">
        <f t="shared" si="5"/>
        <v>0.58</v>
      </c>
      <c r="K132" s="30">
        <f>SUMIF('[1]Pool-gardien'!$D$5:$D$127,C132,'[1]Pool-gardien'!$F$5:$F$127)</f>
        <v>0</v>
      </c>
      <c r="L132" s="30">
        <f>SUMIF('[1]Pool-gardien'!$D$5:$D$127,C132,'[1]Pool-gardien'!$G$5:$G$127)</f>
        <v>0</v>
      </c>
      <c r="M132" s="30">
        <f>SUMIF('[1]Pool-gardien'!$D$5:$D$127,C132,'[1]Pool-gardien'!$H$5:$H$127)</f>
        <v>0</v>
      </c>
      <c r="N132" s="91">
        <f>SUMIF('[1]Pool-gardien'!$D$5:$D$127,C132,'[1]Pool-gardien'!$K$5:$K$127)</f>
        <v>0</v>
      </c>
      <c r="O132" s="30">
        <f>SUMIF('[1]Equipes-Pool'!$B$6:$B$35,C132,'[1]Equipes-Pool'!$D$6:$D$35)</f>
        <v>0</v>
      </c>
      <c r="P132" s="30">
        <f>SUMIF('[1]Equipes-Pool'!$B$6:$B$35,C132,'[1]Equipes-Pool'!$E$6:$E$35)</f>
        <v>0</v>
      </c>
      <c r="Q132" s="30">
        <f>SUMIF('[1]Equipes-Pool'!$B$6:$B$35,C132,'[1]Equipes-Pool'!$F$6:$F$35)</f>
        <v>0</v>
      </c>
      <c r="R132" s="91">
        <f>SUMIF('[1]Equipes-Pool'!$B$6:$B$35,C132,'[1]Equipes-Pool'!$G$6:$G$35)</f>
        <v>0</v>
      </c>
    </row>
    <row r="133" spans="1:18" ht="15.75">
      <c r="A133" s="12" t="s">
        <v>12</v>
      </c>
      <c r="B133" s="14" t="s">
        <v>41</v>
      </c>
      <c r="C133" s="55" t="s">
        <v>214</v>
      </c>
      <c r="D133" s="62" t="s">
        <v>383</v>
      </c>
      <c r="E133" s="10" t="s">
        <v>45</v>
      </c>
      <c r="F133" s="84">
        <f>SUMIF('[1]POOL-joueus'!$D$5:$D$808,C133,'[1]POOL-joueus'!$E$5:$E$808)</f>
        <v>57</v>
      </c>
      <c r="G133" s="84">
        <f>SUMIF('[1]POOL-joueus'!$D$5:$D$808,C133,'[1]POOL-joueus'!$F$5:F$808)</f>
        <v>16</v>
      </c>
      <c r="H133" s="84">
        <f>SUMIF('[1]POOL-joueus'!$D$5:$D$808,C133,'[1]POOL-joueus'!$G$5:G$808)</f>
        <v>22</v>
      </c>
      <c r="I133" s="90">
        <f t="shared" si="4"/>
        <v>38</v>
      </c>
      <c r="J133" s="85">
        <f t="shared" si="5"/>
        <v>0.6666666666666666</v>
      </c>
      <c r="K133" s="30">
        <f>SUMIF('[1]Pool-gardien'!$D$5:$D$127,C133,'[1]Pool-gardien'!$F$5:$F$127)</f>
        <v>0</v>
      </c>
      <c r="L133" s="30">
        <f>SUMIF('[1]Pool-gardien'!$D$5:$D$127,C133,'[1]Pool-gardien'!$G$5:$G$127)</f>
        <v>0</v>
      </c>
      <c r="M133" s="30">
        <f>SUMIF('[1]Pool-gardien'!$D$5:$D$127,C133,'[1]Pool-gardien'!$H$5:$H$127)</f>
        <v>0</v>
      </c>
      <c r="N133" s="91">
        <f>SUMIF('[1]Pool-gardien'!$D$5:$D$127,C133,'[1]Pool-gardien'!$K$5:$K$127)</f>
        <v>0</v>
      </c>
      <c r="O133" s="30">
        <f>SUMIF('[1]Equipes-Pool'!$B$6:$B$35,C133,'[1]Equipes-Pool'!$D$6:$D$35)</f>
        <v>0</v>
      </c>
      <c r="P133" s="30">
        <f>SUMIF('[1]Equipes-Pool'!$B$6:$B$35,C133,'[1]Equipes-Pool'!$E$6:$E$35)</f>
        <v>0</v>
      </c>
      <c r="Q133" s="30">
        <f>SUMIF('[1]Equipes-Pool'!$B$6:$B$35,C133,'[1]Equipes-Pool'!$F$6:$F$35)</f>
        <v>0</v>
      </c>
      <c r="R133" s="91">
        <f>SUMIF('[1]Equipes-Pool'!$B$6:$B$35,C133,'[1]Equipes-Pool'!$G$6:$G$35)</f>
        <v>0</v>
      </c>
    </row>
    <row r="134" spans="1:18" ht="15.75">
      <c r="A134" s="17" t="s">
        <v>28</v>
      </c>
      <c r="B134" s="18" t="s">
        <v>78</v>
      </c>
      <c r="C134" s="70" t="s">
        <v>216</v>
      </c>
      <c r="D134" s="62" t="s">
        <v>383</v>
      </c>
      <c r="E134" s="10" t="s">
        <v>52</v>
      </c>
      <c r="F134" s="82">
        <f>SUMIF('[1]Pool-gardien'!$D$5:$D$127,C134,'[1]Pool-gardien'!$E$5:$E$127)</f>
        <v>29</v>
      </c>
      <c r="G134" s="82">
        <f>SUMIF('[1]Pool-gardien'!$D$5:$D$127,C134,'[1]Pool-gardien'!$I$5:$I$127)</f>
        <v>0</v>
      </c>
      <c r="H134" s="82">
        <f>SUMIF('[1]Pool-gardien'!$D$5:$D$127,C134,'[1]Pool-gardien'!$J$5:$J$127)</f>
        <v>2</v>
      </c>
      <c r="I134" s="92">
        <f t="shared" si="4"/>
        <v>2</v>
      </c>
      <c r="J134" s="81">
        <f t="shared" si="5"/>
        <v>0.06896551724137931</v>
      </c>
      <c r="K134" s="82">
        <f>SUMIF('[1]Pool-gardien'!$D$5:$D$127,C134,'[1]Pool-gardien'!$F$5:$F$127)</f>
        <v>17</v>
      </c>
      <c r="L134" s="82">
        <f>SUMIF('[1]Pool-gardien'!$D$5:$D$127,C134,'[1]Pool-gardien'!$G$5:$G$127)</f>
        <v>5</v>
      </c>
      <c r="M134" s="82">
        <f>SUMIF('[1]Pool-gardien'!$D$5:$D$127,C134,'[1]Pool-gardien'!$H$5:$H$127)</f>
        <v>1</v>
      </c>
      <c r="N134" s="92">
        <f>SUMIF('[1]Pool-gardien'!$D$5:$D$127,C134,'[1]Pool-gardien'!$K$5:$K$127)</f>
        <v>45</v>
      </c>
      <c r="O134" s="30">
        <f>SUMIF('[1]Equipes-Pool'!$B$6:$B$35,C134,'[1]Equipes-Pool'!$D$6:$D$35)</f>
        <v>0</v>
      </c>
      <c r="P134" s="30">
        <f>SUMIF('[1]Equipes-Pool'!$B$6:$B$35,C134,'[1]Equipes-Pool'!$E$6:$E$35)</f>
        <v>0</v>
      </c>
      <c r="Q134" s="30">
        <f>SUMIF('[1]Equipes-Pool'!$B$6:$B$35,C134,'[1]Equipes-Pool'!$F$6:$F$35)</f>
        <v>0</v>
      </c>
      <c r="R134" s="91">
        <f>SUMIF('[1]Equipes-Pool'!$B$6:$B$35,C134,'[1]Equipes-Pool'!$G$6:$G$35)</f>
        <v>0</v>
      </c>
    </row>
    <row r="135" spans="1:18" ht="15.75">
      <c r="A135" s="12" t="s">
        <v>33</v>
      </c>
      <c r="B135" s="14" t="s">
        <v>120</v>
      </c>
      <c r="C135" s="55" t="s">
        <v>218</v>
      </c>
      <c r="D135" s="62" t="s">
        <v>383</v>
      </c>
      <c r="E135" s="10" t="s">
        <v>27</v>
      </c>
      <c r="F135" s="84">
        <f>SUMIF('[1]POOL-joueus'!$D$5:$D$808,C135,'[1]POOL-joueus'!$E$5:$E$808)</f>
        <v>0</v>
      </c>
      <c r="G135" s="84">
        <f>SUMIF('[1]POOL-joueus'!$D$5:$D$808,C135,'[1]POOL-joueus'!$F$5:F$808)</f>
        <v>0</v>
      </c>
      <c r="H135" s="84">
        <f>SUMIF('[1]POOL-joueus'!$D$5:$D$808,C135,'[1]POOL-joueus'!$G$5:G$808)</f>
        <v>0</v>
      </c>
      <c r="I135" s="90">
        <f t="shared" si="4"/>
        <v>0</v>
      </c>
      <c r="J135" s="85" t="e">
        <f t="shared" si="5"/>
        <v>#DIV/0!</v>
      </c>
      <c r="K135" s="30">
        <f>SUMIF('[1]Pool-gardien'!$D$5:$D$127,C135,'[1]Pool-gardien'!$F$5:$F$127)</f>
        <v>0</v>
      </c>
      <c r="L135" s="30">
        <f>SUMIF('[1]Pool-gardien'!$D$5:$D$127,C135,'[1]Pool-gardien'!$G$5:$G$127)</f>
        <v>0</v>
      </c>
      <c r="M135" s="30">
        <f>SUMIF('[1]Pool-gardien'!$D$5:$D$127,C135,'[1]Pool-gardien'!$H$5:$H$127)</f>
        <v>0</v>
      </c>
      <c r="N135" s="91">
        <f>SUMIF('[1]Pool-gardien'!$D$5:$D$127,C135,'[1]Pool-gardien'!$K$5:$K$127)</f>
        <v>0</v>
      </c>
      <c r="O135" s="30">
        <f>SUMIF('[1]Equipes-Pool'!$B$6:$B$35,C135,'[1]Equipes-Pool'!$D$6:$D$35)</f>
        <v>0</v>
      </c>
      <c r="P135" s="30">
        <f>SUMIF('[1]Equipes-Pool'!$B$6:$B$35,C135,'[1]Equipes-Pool'!$E$6:$E$35)</f>
        <v>0</v>
      </c>
      <c r="Q135" s="30">
        <f>SUMIF('[1]Equipes-Pool'!$B$6:$B$35,C135,'[1]Equipes-Pool'!$F$6:$F$35)</f>
        <v>0</v>
      </c>
      <c r="R135" s="91">
        <f>SUMIF('[1]Equipes-Pool'!$B$6:$B$35,C135,'[1]Equipes-Pool'!$G$6:$G$35)</f>
        <v>0</v>
      </c>
    </row>
    <row r="136" spans="1:18" ht="15.75">
      <c r="A136" s="12" t="s">
        <v>12</v>
      </c>
      <c r="B136" s="14" t="s">
        <v>186</v>
      </c>
      <c r="C136" s="55" t="s">
        <v>220</v>
      </c>
      <c r="D136" s="62" t="s">
        <v>383</v>
      </c>
      <c r="E136" s="10" t="s">
        <v>62</v>
      </c>
      <c r="F136" s="84">
        <f>SUMIF('[1]POOL-joueus'!$D$5:$D$808,C136,'[1]POOL-joueus'!$E$5:$E$808)</f>
        <v>57</v>
      </c>
      <c r="G136" s="84">
        <f>SUMIF('[1]POOL-joueus'!$D$5:$D$808,C136,'[1]POOL-joueus'!$F$5:F$808)</f>
        <v>15</v>
      </c>
      <c r="H136" s="84">
        <f>SUMIF('[1]POOL-joueus'!$D$5:$D$808,C136,'[1]POOL-joueus'!$G$5:G$808)</f>
        <v>28</v>
      </c>
      <c r="I136" s="90">
        <f t="shared" si="4"/>
        <v>43</v>
      </c>
      <c r="J136" s="85">
        <f t="shared" si="5"/>
        <v>0.7543859649122807</v>
      </c>
      <c r="K136" s="30">
        <f>SUMIF('[1]Pool-gardien'!$D$5:$D$127,C136,'[1]Pool-gardien'!$F$5:$F$127)</f>
        <v>0</v>
      </c>
      <c r="L136" s="30">
        <f>SUMIF('[1]Pool-gardien'!$D$5:$D$127,C136,'[1]Pool-gardien'!$G$5:$G$127)</f>
        <v>0</v>
      </c>
      <c r="M136" s="30">
        <f>SUMIF('[1]Pool-gardien'!$D$5:$D$127,C136,'[1]Pool-gardien'!$H$5:$H$127)</f>
        <v>0</v>
      </c>
      <c r="N136" s="91">
        <f>SUMIF('[1]Pool-gardien'!$D$5:$D$127,C136,'[1]Pool-gardien'!$K$5:$K$127)</f>
        <v>0</v>
      </c>
      <c r="O136" s="30">
        <f>SUMIF('[1]Equipes-Pool'!$B$6:$B$35,C136,'[1]Equipes-Pool'!$D$6:$D$35)</f>
        <v>0</v>
      </c>
      <c r="P136" s="30">
        <f>SUMIF('[1]Equipes-Pool'!$B$6:$B$35,C136,'[1]Equipes-Pool'!$E$6:$E$35)</f>
        <v>0</v>
      </c>
      <c r="Q136" s="30">
        <f>SUMIF('[1]Equipes-Pool'!$B$6:$B$35,C136,'[1]Equipes-Pool'!$F$6:$F$35)</f>
        <v>0</v>
      </c>
      <c r="R136" s="91">
        <f>SUMIF('[1]Equipes-Pool'!$B$6:$B$35,C136,'[1]Equipes-Pool'!$G$6:$G$35)</f>
        <v>0</v>
      </c>
    </row>
    <row r="137" spans="1:18" ht="16.5" thickBot="1">
      <c r="A137" s="49" t="s">
        <v>33</v>
      </c>
      <c r="B137" s="50" t="s">
        <v>34</v>
      </c>
      <c r="C137" s="66" t="s">
        <v>222</v>
      </c>
      <c r="D137" s="64" t="s">
        <v>383</v>
      </c>
      <c r="E137" s="59" t="s">
        <v>65</v>
      </c>
      <c r="F137" s="96">
        <f>SUMIF('[1]POOL-joueus'!$D$5:$D$808,C137,'[1]POOL-joueus'!$E$5:$E$808)</f>
        <v>66</v>
      </c>
      <c r="G137" s="96">
        <f>SUMIF('[1]POOL-joueus'!$D$5:$D$808,C137,'[1]POOL-joueus'!$F$5:F$808)</f>
        <v>3</v>
      </c>
      <c r="H137" s="96">
        <f>SUMIF('[1]POOL-joueus'!$D$5:$D$808,C137,'[1]POOL-joueus'!$G$5:G$808)</f>
        <v>13</v>
      </c>
      <c r="I137" s="97">
        <f t="shared" si="4"/>
        <v>16</v>
      </c>
      <c r="J137" s="98">
        <f t="shared" si="5"/>
        <v>0.24242424242424243</v>
      </c>
      <c r="K137" s="99">
        <f>SUMIF('[1]Pool-gardien'!$D$5:$D$127,C137,'[1]Pool-gardien'!$F$5:$F$127)</f>
        <v>0</v>
      </c>
      <c r="L137" s="99">
        <f>SUMIF('[1]Pool-gardien'!$D$5:$D$127,C137,'[1]Pool-gardien'!$G$5:$G$127)</f>
        <v>0</v>
      </c>
      <c r="M137" s="99">
        <f>SUMIF('[1]Pool-gardien'!$D$5:$D$127,C137,'[1]Pool-gardien'!$H$5:$H$127)</f>
        <v>0</v>
      </c>
      <c r="N137" s="100">
        <f>SUMIF('[1]Pool-gardien'!$D$5:$D$127,C137,'[1]Pool-gardien'!$K$5:$K$127)</f>
        <v>0</v>
      </c>
      <c r="O137" s="99">
        <f>SUMIF('[1]Equipes-Pool'!$B$6:$B$35,C137,'[1]Equipes-Pool'!$D$6:$D$35)</f>
        <v>0</v>
      </c>
      <c r="P137" s="99">
        <f>SUMIF('[1]Equipes-Pool'!$B$6:$B$35,C137,'[1]Equipes-Pool'!$E$6:$E$35)</f>
        <v>0</v>
      </c>
      <c r="Q137" s="99">
        <f>SUMIF('[1]Equipes-Pool'!$B$6:$B$35,C137,'[1]Equipes-Pool'!$F$6:$F$35)</f>
        <v>0</v>
      </c>
      <c r="R137" s="100">
        <f>SUMIF('[1]Equipes-Pool'!$B$6:$B$35,C137,'[1]Equipes-Pool'!$G$6:$G$35)</f>
        <v>0</v>
      </c>
    </row>
    <row r="138" spans="1:18" ht="15.75">
      <c r="A138" s="20" t="s">
        <v>12</v>
      </c>
      <c r="B138" s="21" t="s">
        <v>140</v>
      </c>
      <c r="C138" s="67" t="s">
        <v>204</v>
      </c>
      <c r="D138" s="63" t="s">
        <v>384</v>
      </c>
      <c r="E138" s="65" t="s">
        <v>8</v>
      </c>
      <c r="F138" s="40">
        <f>SUMIF('[1]POOL-joueus'!$D$5:$D$808,C138,'[1]POOL-joueus'!$E$5:$E$808)</f>
        <v>62</v>
      </c>
      <c r="G138" s="40">
        <f>SUMIF('[1]POOL-joueus'!$D$5:$D$808,C138,'[1]POOL-joueus'!$F$5:F$808)</f>
        <v>22</v>
      </c>
      <c r="H138" s="40">
        <f>SUMIF('[1]POOL-joueus'!$D$5:$D$808,C138,'[1]POOL-joueus'!$G$5:G$808)</f>
        <v>29</v>
      </c>
      <c r="I138" s="94">
        <f t="shared" si="4"/>
        <v>51</v>
      </c>
      <c r="J138" s="95">
        <f t="shared" si="5"/>
        <v>0.8225806451612904</v>
      </c>
      <c r="K138" s="35">
        <f>SUMIF('[1]Pool-gardien'!$D$5:$D$127,C138,'[1]Pool-gardien'!$F$5:$F$127)</f>
        <v>0</v>
      </c>
      <c r="L138" s="35">
        <f>SUMIF('[1]Pool-gardien'!$D$5:$D$127,C138,'[1]Pool-gardien'!$G$5:$G$127)</f>
        <v>0</v>
      </c>
      <c r="M138" s="35">
        <f>SUMIF('[1]Pool-gardien'!$D$5:$D$127,C138,'[1]Pool-gardien'!$H$5:$H$127)</f>
        <v>0</v>
      </c>
      <c r="N138" s="89">
        <f>SUMIF('[1]Pool-gardien'!$D$5:$D$127,C138,'[1]Pool-gardien'!$K$5:$K$127)</f>
        <v>0</v>
      </c>
      <c r="O138" s="35">
        <f>SUMIF('[1]Equipes-Pool'!$B$6:$B$35,C138,'[1]Equipes-Pool'!$D$6:$D$35)</f>
        <v>0</v>
      </c>
      <c r="P138" s="35">
        <f>SUMIF('[1]Equipes-Pool'!$B$6:$B$35,C138,'[1]Equipes-Pool'!$E$6:$E$35)</f>
        <v>0</v>
      </c>
      <c r="Q138" s="35">
        <f>SUMIF('[1]Equipes-Pool'!$B$6:$B$35,C138,'[1]Equipes-Pool'!$F$6:$F$35)</f>
        <v>0</v>
      </c>
      <c r="R138" s="89">
        <f>SUMIF('[1]Equipes-Pool'!$B$6:$B$35,C138,'[1]Equipes-Pool'!$G$6:$G$35)</f>
        <v>0</v>
      </c>
    </row>
    <row r="139" spans="1:18" ht="15.75">
      <c r="A139" s="12" t="s">
        <v>12</v>
      </c>
      <c r="B139" s="14" t="s">
        <v>29</v>
      </c>
      <c r="C139" s="55" t="s">
        <v>206</v>
      </c>
      <c r="D139" s="62" t="s">
        <v>384</v>
      </c>
      <c r="E139" s="10" t="s">
        <v>16</v>
      </c>
      <c r="F139" s="84">
        <f>SUMIF('[1]POOL-joueus'!$D$5:$D$808,C139,'[1]POOL-joueus'!$E$5:$E$808)</f>
        <v>25</v>
      </c>
      <c r="G139" s="84">
        <f>SUMIF('[1]POOL-joueus'!$D$5:$D$808,C139,'[1]POOL-joueus'!$F$5:F$808)</f>
        <v>7</v>
      </c>
      <c r="H139" s="84">
        <f>SUMIF('[1]POOL-joueus'!$D$5:$D$808,C139,'[1]POOL-joueus'!$G$5:G$808)</f>
        <v>10</v>
      </c>
      <c r="I139" s="90">
        <f t="shared" si="4"/>
        <v>17</v>
      </c>
      <c r="J139" s="85">
        <f t="shared" si="5"/>
        <v>0.68</v>
      </c>
      <c r="K139" s="30">
        <f>SUMIF('[1]Pool-gardien'!$D$5:$D$127,C139,'[1]Pool-gardien'!$F$5:$F$127)</f>
        <v>0</v>
      </c>
      <c r="L139" s="30">
        <f>SUMIF('[1]Pool-gardien'!$D$5:$D$127,C139,'[1]Pool-gardien'!$G$5:$G$127)</f>
        <v>0</v>
      </c>
      <c r="M139" s="30">
        <f>SUMIF('[1]Pool-gardien'!$D$5:$D$127,C139,'[1]Pool-gardien'!$H$5:$H$127)</f>
        <v>0</v>
      </c>
      <c r="N139" s="91">
        <f>SUMIF('[1]Pool-gardien'!$D$5:$D$127,C139,'[1]Pool-gardien'!$K$5:$K$127)</f>
        <v>0</v>
      </c>
      <c r="O139" s="30">
        <f>SUMIF('[1]Equipes-Pool'!$B$6:$B$35,C139,'[1]Equipes-Pool'!$D$6:$D$35)</f>
        <v>0</v>
      </c>
      <c r="P139" s="30">
        <f>SUMIF('[1]Equipes-Pool'!$B$6:$B$35,C139,'[1]Equipes-Pool'!$E$6:$E$35)</f>
        <v>0</v>
      </c>
      <c r="Q139" s="30">
        <f>SUMIF('[1]Equipes-Pool'!$B$6:$B$35,C139,'[1]Equipes-Pool'!$F$6:$F$35)</f>
        <v>0</v>
      </c>
      <c r="R139" s="91">
        <f>SUMIF('[1]Equipes-Pool'!$B$6:$B$35,C139,'[1]Equipes-Pool'!$G$6:$G$35)</f>
        <v>0</v>
      </c>
    </row>
    <row r="140" spans="1:18" ht="15.75">
      <c r="A140" s="12" t="s">
        <v>33</v>
      </c>
      <c r="B140" s="14" t="s">
        <v>84</v>
      </c>
      <c r="C140" s="55" t="s">
        <v>208</v>
      </c>
      <c r="D140" s="62" t="s">
        <v>384</v>
      </c>
      <c r="E140" s="10" t="s">
        <v>23</v>
      </c>
      <c r="F140" s="84">
        <f>SUMIF('[1]POOL-joueus'!$D$5:$D$808,C140,'[1]POOL-joueus'!$E$5:$E$808)</f>
        <v>64</v>
      </c>
      <c r="G140" s="84">
        <f>SUMIF('[1]POOL-joueus'!$D$5:$D$808,C140,'[1]POOL-joueus'!$F$5:F$808)</f>
        <v>4</v>
      </c>
      <c r="H140" s="84">
        <f>SUMIF('[1]POOL-joueus'!$D$5:$D$808,C140,'[1]POOL-joueus'!$G$5:G$808)</f>
        <v>16</v>
      </c>
      <c r="I140" s="90">
        <f t="shared" si="4"/>
        <v>20</v>
      </c>
      <c r="J140" s="85">
        <f t="shared" si="5"/>
        <v>0.3125</v>
      </c>
      <c r="K140" s="30">
        <f>SUMIF('[1]Pool-gardien'!$D$5:$D$127,C140,'[1]Pool-gardien'!$F$5:$F$127)</f>
        <v>0</v>
      </c>
      <c r="L140" s="30">
        <f>SUMIF('[1]Pool-gardien'!$D$5:$D$127,C140,'[1]Pool-gardien'!$G$5:$G$127)</f>
        <v>0</v>
      </c>
      <c r="M140" s="30">
        <f>SUMIF('[1]Pool-gardien'!$D$5:$D$127,C140,'[1]Pool-gardien'!$H$5:$H$127)</f>
        <v>0</v>
      </c>
      <c r="N140" s="91">
        <f>SUMIF('[1]Pool-gardien'!$D$5:$D$127,C140,'[1]Pool-gardien'!$K$5:$K$127)</f>
        <v>0</v>
      </c>
      <c r="O140" s="30">
        <f>SUMIF('[1]Equipes-Pool'!$B$6:$B$35,C140,'[1]Equipes-Pool'!$D$6:$D$35)</f>
        <v>0</v>
      </c>
      <c r="P140" s="30">
        <f>SUMIF('[1]Equipes-Pool'!$B$6:$B$35,C140,'[1]Equipes-Pool'!$E$6:$E$35)</f>
        <v>0</v>
      </c>
      <c r="Q140" s="30">
        <f>SUMIF('[1]Equipes-Pool'!$B$6:$B$35,C140,'[1]Equipes-Pool'!$F$6:$F$35)</f>
        <v>0</v>
      </c>
      <c r="R140" s="91">
        <f>SUMIF('[1]Equipes-Pool'!$B$6:$B$35,C140,'[1]Equipes-Pool'!$G$6:$G$35)</f>
        <v>0</v>
      </c>
    </row>
    <row r="141" spans="1:18" ht="15.75">
      <c r="A141" s="12" t="s">
        <v>40</v>
      </c>
      <c r="B141" s="14" t="s">
        <v>36</v>
      </c>
      <c r="C141" s="55" t="s">
        <v>210</v>
      </c>
      <c r="D141" s="62" t="s">
        <v>384</v>
      </c>
      <c r="E141" s="10" t="s">
        <v>32</v>
      </c>
      <c r="F141" s="84">
        <f>SUMIF('[1]POOL-joueus'!$D$5:$D$808,C141,'[1]POOL-joueus'!$E$5:$E$808)</f>
        <v>62</v>
      </c>
      <c r="G141" s="84">
        <f>SUMIF('[1]POOL-joueus'!$D$5:$D$808,C141,'[1]POOL-joueus'!$F$5:F$808)</f>
        <v>11</v>
      </c>
      <c r="H141" s="84">
        <f>SUMIF('[1]POOL-joueus'!$D$5:$D$808,C141,'[1]POOL-joueus'!$G$5:G$808)</f>
        <v>37</v>
      </c>
      <c r="I141" s="90">
        <f t="shared" si="4"/>
        <v>48</v>
      </c>
      <c r="J141" s="85">
        <f t="shared" si="5"/>
        <v>0.7741935483870968</v>
      </c>
      <c r="K141" s="30">
        <f>SUMIF('[1]Pool-gardien'!$D$5:$D$127,C141,'[1]Pool-gardien'!$F$5:$F$127)</f>
        <v>0</v>
      </c>
      <c r="L141" s="30">
        <f>SUMIF('[1]Pool-gardien'!$D$5:$D$127,C141,'[1]Pool-gardien'!$G$5:$G$127)</f>
        <v>0</v>
      </c>
      <c r="M141" s="30">
        <f>SUMIF('[1]Pool-gardien'!$D$5:$D$127,C141,'[1]Pool-gardien'!$H$5:$H$127)</f>
        <v>0</v>
      </c>
      <c r="N141" s="91">
        <f>SUMIF('[1]Pool-gardien'!$D$5:$D$127,C141,'[1]Pool-gardien'!$K$5:$K$127)</f>
        <v>0</v>
      </c>
      <c r="O141" s="30">
        <f>SUMIF('[1]Equipes-Pool'!$B$6:$B$35,C141,'[1]Equipes-Pool'!$D$6:$D$35)</f>
        <v>0</v>
      </c>
      <c r="P141" s="30">
        <f>SUMIF('[1]Equipes-Pool'!$B$6:$B$35,C141,'[1]Equipes-Pool'!$E$6:$E$35)</f>
        <v>0</v>
      </c>
      <c r="Q141" s="30">
        <f>SUMIF('[1]Equipes-Pool'!$B$6:$B$35,C141,'[1]Equipes-Pool'!$F$6:$F$35)</f>
        <v>0</v>
      </c>
      <c r="R141" s="91">
        <f>SUMIF('[1]Equipes-Pool'!$B$6:$B$35,C141,'[1]Equipes-Pool'!$G$6:$G$35)</f>
        <v>0</v>
      </c>
    </row>
    <row r="142" spans="1:18" ht="15.75">
      <c r="A142" s="12" t="s">
        <v>19</v>
      </c>
      <c r="B142" s="14" t="s">
        <v>57</v>
      </c>
      <c r="C142" s="55" t="s">
        <v>213</v>
      </c>
      <c r="D142" s="62" t="s">
        <v>384</v>
      </c>
      <c r="E142" s="10" t="s">
        <v>39</v>
      </c>
      <c r="F142" s="30">
        <f>SUMIF('[1]POOL-joueus'!$D$5:$D$808,C142,'[1]POOL-joueus'!$E$5:$E$808)</f>
        <v>8</v>
      </c>
      <c r="G142" s="30">
        <f>SUMIF('[1]POOL-joueus'!$D$5:$D$808,C142,'[1]POOL-joueus'!$F$5:F$808)</f>
        <v>0</v>
      </c>
      <c r="H142" s="30">
        <f>SUMIF('[1]POOL-joueus'!$D$5:$D$808,C142,'[1]POOL-joueus'!$G$5:G$808)</f>
        <v>1</v>
      </c>
      <c r="I142" s="91">
        <f t="shared" si="4"/>
        <v>1</v>
      </c>
      <c r="J142" s="81">
        <f t="shared" si="5"/>
        <v>0.125</v>
      </c>
      <c r="K142" s="30">
        <f>SUMIF('[1]Pool-gardien'!$D$5:$D$127,C142,'[1]Pool-gardien'!$F$5:$F$127)</f>
        <v>0</v>
      </c>
      <c r="L142" s="30">
        <f>SUMIF('[1]Pool-gardien'!$D$5:$D$127,C142,'[1]Pool-gardien'!$G$5:$G$127)</f>
        <v>0</v>
      </c>
      <c r="M142" s="30">
        <f>SUMIF('[1]Pool-gardien'!$D$5:$D$127,C142,'[1]Pool-gardien'!$H$5:$H$127)</f>
        <v>0</v>
      </c>
      <c r="N142" s="91">
        <f>SUMIF('[1]Pool-gardien'!$D$5:$D$127,C142,'[1]Pool-gardien'!$K$5:$K$127)</f>
        <v>0</v>
      </c>
      <c r="O142" s="30">
        <f>SUMIF('[1]Equipes-Pool'!$B$6:$B$35,C142,'[1]Equipes-Pool'!$D$6:$D$35)</f>
        <v>0</v>
      </c>
      <c r="P142" s="30">
        <f>SUMIF('[1]Equipes-Pool'!$B$6:$B$35,C142,'[1]Equipes-Pool'!$E$6:$E$35)</f>
        <v>0</v>
      </c>
      <c r="Q142" s="30">
        <f>SUMIF('[1]Equipes-Pool'!$B$6:$B$35,C142,'[1]Equipes-Pool'!$F$6:$F$35)</f>
        <v>0</v>
      </c>
      <c r="R142" s="91">
        <f>SUMIF('[1]Equipes-Pool'!$B$6:$B$35,C142,'[1]Equipes-Pool'!$G$6:$G$35)</f>
        <v>0</v>
      </c>
    </row>
    <row r="143" spans="1:18" ht="15.75">
      <c r="A143" s="12" t="s">
        <v>12</v>
      </c>
      <c r="B143" s="14" t="s">
        <v>89</v>
      </c>
      <c r="C143" s="55" t="s">
        <v>215</v>
      </c>
      <c r="D143" s="62" t="s">
        <v>384</v>
      </c>
      <c r="E143" s="10" t="s">
        <v>45</v>
      </c>
      <c r="F143" s="84">
        <f>SUMIF('[1]POOL-joueus'!$D$5:$D$808,C143,'[1]POOL-joueus'!$E$5:$E$808)</f>
        <v>66</v>
      </c>
      <c r="G143" s="84">
        <f>SUMIF('[1]POOL-joueus'!$D$5:$D$808,C143,'[1]POOL-joueus'!$F$5:F$808)</f>
        <v>20</v>
      </c>
      <c r="H143" s="84">
        <f>SUMIF('[1]POOL-joueus'!$D$5:$D$808,C143,'[1]POOL-joueus'!$G$5:G$808)</f>
        <v>30</v>
      </c>
      <c r="I143" s="90">
        <f t="shared" si="4"/>
        <v>50</v>
      </c>
      <c r="J143" s="85">
        <f t="shared" si="5"/>
        <v>0.7575757575757576</v>
      </c>
      <c r="K143" s="30">
        <f>SUMIF('[1]Pool-gardien'!$D$5:$D$127,C143,'[1]Pool-gardien'!$F$5:$F$127)</f>
        <v>0</v>
      </c>
      <c r="L143" s="30">
        <f>SUMIF('[1]Pool-gardien'!$D$5:$D$127,C143,'[1]Pool-gardien'!$G$5:$G$127)</f>
        <v>0</v>
      </c>
      <c r="M143" s="30">
        <f>SUMIF('[1]Pool-gardien'!$D$5:$D$127,C143,'[1]Pool-gardien'!$H$5:$H$127)</f>
        <v>0</v>
      </c>
      <c r="N143" s="91">
        <f>SUMIF('[1]Pool-gardien'!$D$5:$D$127,C143,'[1]Pool-gardien'!$K$5:$K$127)</f>
        <v>0</v>
      </c>
      <c r="O143" s="30">
        <f>SUMIF('[1]Equipes-Pool'!$B$6:$B$35,C143,'[1]Equipes-Pool'!$D$6:$D$35)</f>
        <v>0</v>
      </c>
      <c r="P143" s="30">
        <f>SUMIF('[1]Equipes-Pool'!$B$6:$B$35,C143,'[1]Equipes-Pool'!$E$6:$E$35)</f>
        <v>0</v>
      </c>
      <c r="Q143" s="30">
        <f>SUMIF('[1]Equipes-Pool'!$B$6:$B$35,C143,'[1]Equipes-Pool'!$F$6:$F$35)</f>
        <v>0</v>
      </c>
      <c r="R143" s="91">
        <f>SUMIF('[1]Equipes-Pool'!$B$6:$B$35,C143,'[1]Equipes-Pool'!$G$6:$G$35)</f>
        <v>0</v>
      </c>
    </row>
    <row r="144" spans="1:18" ht="15.75">
      <c r="A144" s="12" t="s">
        <v>40</v>
      </c>
      <c r="B144" s="14" t="s">
        <v>89</v>
      </c>
      <c r="C144" s="55" t="s">
        <v>217</v>
      </c>
      <c r="D144" s="62" t="s">
        <v>384</v>
      </c>
      <c r="E144" s="10" t="s">
        <v>52</v>
      </c>
      <c r="F144" s="84">
        <f>SUMIF('[1]POOL-joueus'!$D$5:$D$808,C144,'[1]POOL-joueus'!$E$5:$E$808)</f>
        <v>66</v>
      </c>
      <c r="G144" s="84">
        <f>SUMIF('[1]POOL-joueus'!$D$5:$D$808,C144,'[1]POOL-joueus'!$F$5:F$808)</f>
        <v>8</v>
      </c>
      <c r="H144" s="84">
        <f>SUMIF('[1]POOL-joueus'!$D$5:$D$808,C144,'[1]POOL-joueus'!$G$5:G$808)</f>
        <v>25</v>
      </c>
      <c r="I144" s="90">
        <f t="shared" si="4"/>
        <v>33</v>
      </c>
      <c r="J144" s="85">
        <f t="shared" si="5"/>
        <v>0.5</v>
      </c>
      <c r="K144" s="30">
        <f>SUMIF('[1]Pool-gardien'!$D$5:$D$127,C144,'[1]Pool-gardien'!$F$5:$F$127)</f>
        <v>0</v>
      </c>
      <c r="L144" s="30">
        <f>SUMIF('[1]Pool-gardien'!$D$5:$D$127,C144,'[1]Pool-gardien'!$G$5:$G$127)</f>
        <v>0</v>
      </c>
      <c r="M144" s="30">
        <f>SUMIF('[1]Pool-gardien'!$D$5:$D$127,C144,'[1]Pool-gardien'!$H$5:$H$127)</f>
        <v>0</v>
      </c>
      <c r="N144" s="91">
        <f>SUMIF('[1]Pool-gardien'!$D$5:$D$127,C144,'[1]Pool-gardien'!$K$5:$K$127)</f>
        <v>0</v>
      </c>
      <c r="O144" s="30">
        <f>SUMIF('[1]Equipes-Pool'!$B$6:$B$35,C144,'[1]Equipes-Pool'!$D$6:$D$35)</f>
        <v>0</v>
      </c>
      <c r="P144" s="30">
        <f>SUMIF('[1]Equipes-Pool'!$B$6:$B$35,C144,'[1]Equipes-Pool'!$E$6:$E$35)</f>
        <v>0</v>
      </c>
      <c r="Q144" s="30">
        <f>SUMIF('[1]Equipes-Pool'!$B$6:$B$35,C144,'[1]Equipes-Pool'!$F$6:$F$35)</f>
        <v>0</v>
      </c>
      <c r="R144" s="91">
        <f>SUMIF('[1]Equipes-Pool'!$B$6:$B$35,C144,'[1]Equipes-Pool'!$G$6:$G$35)</f>
        <v>0</v>
      </c>
    </row>
    <row r="145" spans="1:18" ht="15.75">
      <c r="A145" s="12" t="s">
        <v>40</v>
      </c>
      <c r="B145" s="14" t="s">
        <v>29</v>
      </c>
      <c r="C145" s="55" t="s">
        <v>219</v>
      </c>
      <c r="D145" s="62" t="s">
        <v>384</v>
      </c>
      <c r="E145" s="10" t="s">
        <v>27</v>
      </c>
      <c r="F145" s="84">
        <f>SUMIF('[1]POOL-joueus'!$D$5:$D$808,C145,'[1]POOL-joueus'!$E$5:$E$808)</f>
        <v>66</v>
      </c>
      <c r="G145" s="84">
        <f>SUMIF('[1]POOL-joueus'!$D$5:$D$808,C145,'[1]POOL-joueus'!$F$5:F$808)</f>
        <v>19</v>
      </c>
      <c r="H145" s="84">
        <f>SUMIF('[1]POOL-joueus'!$D$5:$D$808,C145,'[1]POOL-joueus'!$G$5:G$808)</f>
        <v>19</v>
      </c>
      <c r="I145" s="90">
        <f t="shared" si="4"/>
        <v>38</v>
      </c>
      <c r="J145" s="85">
        <f t="shared" si="5"/>
        <v>0.5757575757575758</v>
      </c>
      <c r="K145" s="30">
        <f>SUMIF('[1]Pool-gardien'!$D$5:$D$127,C145,'[1]Pool-gardien'!$F$5:$F$127)</f>
        <v>0</v>
      </c>
      <c r="L145" s="30">
        <f>SUMIF('[1]Pool-gardien'!$D$5:$D$127,C145,'[1]Pool-gardien'!$G$5:$G$127)</f>
        <v>0</v>
      </c>
      <c r="M145" s="30">
        <f>SUMIF('[1]Pool-gardien'!$D$5:$D$127,C145,'[1]Pool-gardien'!$H$5:$H$127)</f>
        <v>0</v>
      </c>
      <c r="N145" s="91">
        <f>SUMIF('[1]Pool-gardien'!$D$5:$D$127,C145,'[1]Pool-gardien'!$K$5:$K$127)</f>
        <v>0</v>
      </c>
      <c r="O145" s="30">
        <f>SUMIF('[1]Equipes-Pool'!$B$6:$B$35,C145,'[1]Equipes-Pool'!$D$6:$D$35)</f>
        <v>0</v>
      </c>
      <c r="P145" s="30">
        <f>SUMIF('[1]Equipes-Pool'!$B$6:$B$35,C145,'[1]Equipes-Pool'!$E$6:$E$35)</f>
        <v>0</v>
      </c>
      <c r="Q145" s="30">
        <f>SUMIF('[1]Equipes-Pool'!$B$6:$B$35,C145,'[1]Equipes-Pool'!$F$6:$F$35)</f>
        <v>0</v>
      </c>
      <c r="R145" s="91">
        <f>SUMIF('[1]Equipes-Pool'!$B$6:$B$35,C145,'[1]Equipes-Pool'!$G$6:$G$35)</f>
        <v>0</v>
      </c>
    </row>
    <row r="146" spans="1:18" ht="15.75">
      <c r="A146" s="28" t="s">
        <v>40</v>
      </c>
      <c r="B146" s="28" t="s">
        <v>103</v>
      </c>
      <c r="C146" s="9" t="s">
        <v>221</v>
      </c>
      <c r="D146" s="62" t="s">
        <v>384</v>
      </c>
      <c r="E146" s="10" t="s">
        <v>62</v>
      </c>
      <c r="F146" s="84">
        <f>SUMIF('[1]POOL-joueus'!$D$5:$D$808,C146,'[1]POOL-joueus'!$E$5:$E$808)</f>
        <v>61</v>
      </c>
      <c r="G146" s="84">
        <f>SUMIF('[1]POOL-joueus'!$D$5:$D$808,C146,'[1]POOL-joueus'!$F$5:F$808)</f>
        <v>27</v>
      </c>
      <c r="H146" s="84">
        <f>SUMIF('[1]POOL-joueus'!$D$5:$D$808,C146,'[1]POOL-joueus'!$G$5:G$808)</f>
        <v>21</v>
      </c>
      <c r="I146" s="90">
        <f aca="true" t="shared" si="6" ref="I146:I209">SUM(G146:H146)</f>
        <v>48</v>
      </c>
      <c r="J146" s="85">
        <f aca="true" t="shared" si="7" ref="J146:J209">I146/F146</f>
        <v>0.7868852459016393</v>
      </c>
      <c r="K146" s="30">
        <f>SUMIF('[1]Pool-gardien'!$D$5:$D$127,C146,'[1]Pool-gardien'!$F$5:$F$127)</f>
        <v>0</v>
      </c>
      <c r="L146" s="30">
        <f>SUMIF('[1]Pool-gardien'!$D$5:$D$127,C146,'[1]Pool-gardien'!$G$5:$G$127)</f>
        <v>0</v>
      </c>
      <c r="M146" s="30">
        <f>SUMIF('[1]Pool-gardien'!$D$5:$D$127,C146,'[1]Pool-gardien'!$H$5:$H$127)</f>
        <v>0</v>
      </c>
      <c r="N146" s="91">
        <f>SUMIF('[1]Pool-gardien'!$D$5:$D$127,C146,'[1]Pool-gardien'!$K$5:$K$127)</f>
        <v>0</v>
      </c>
      <c r="O146" s="30">
        <f>SUMIF('[1]Equipes-Pool'!$B$6:$B$35,C146,'[1]Equipes-Pool'!$D$6:$D$35)</f>
        <v>0</v>
      </c>
      <c r="P146" s="30">
        <f>SUMIF('[1]Equipes-Pool'!$B$6:$B$35,C146,'[1]Equipes-Pool'!$E$6:$E$35)</f>
        <v>0</v>
      </c>
      <c r="Q146" s="30">
        <f>SUMIF('[1]Equipes-Pool'!$B$6:$B$35,C146,'[1]Equipes-Pool'!$F$6:$F$35)</f>
        <v>0</v>
      </c>
      <c r="R146" s="91">
        <f>SUMIF('[1]Equipes-Pool'!$B$6:$B$35,C146,'[1]Equipes-Pool'!$G$6:$G$35)</f>
        <v>0</v>
      </c>
    </row>
    <row r="147" spans="1:18" ht="16.5" thickBot="1">
      <c r="A147" s="49" t="s">
        <v>40</v>
      </c>
      <c r="B147" s="50" t="s">
        <v>140</v>
      </c>
      <c r="C147" s="66" t="s">
        <v>223</v>
      </c>
      <c r="D147" s="64" t="s">
        <v>384</v>
      </c>
      <c r="E147" s="59" t="s">
        <v>65</v>
      </c>
      <c r="F147" s="96">
        <f>SUMIF('[1]POOL-joueus'!$D$5:$D$808,C147,'[1]POOL-joueus'!$E$5:$E$808)</f>
        <v>6</v>
      </c>
      <c r="G147" s="96">
        <f>SUMIF('[1]POOL-joueus'!$D$5:$D$808,C147,'[1]POOL-joueus'!$F$5:F$808)</f>
        <v>0</v>
      </c>
      <c r="H147" s="96">
        <f>SUMIF('[1]POOL-joueus'!$D$5:$D$808,C147,'[1]POOL-joueus'!$G$5:G$808)</f>
        <v>1</v>
      </c>
      <c r="I147" s="97">
        <f t="shared" si="6"/>
        <v>1</v>
      </c>
      <c r="J147" s="98">
        <f t="shared" si="7"/>
        <v>0.16666666666666666</v>
      </c>
      <c r="K147" s="99">
        <f>SUMIF('[1]Pool-gardien'!$D$5:$D$127,C147,'[1]Pool-gardien'!$F$5:$F$127)</f>
        <v>0</v>
      </c>
      <c r="L147" s="99">
        <f>SUMIF('[1]Pool-gardien'!$D$5:$D$127,C147,'[1]Pool-gardien'!$G$5:$G$127)</f>
        <v>0</v>
      </c>
      <c r="M147" s="99">
        <f>SUMIF('[1]Pool-gardien'!$D$5:$D$127,C147,'[1]Pool-gardien'!$H$5:$H$127)</f>
        <v>0</v>
      </c>
      <c r="N147" s="100">
        <f>SUMIF('[1]Pool-gardien'!$D$5:$D$127,C147,'[1]Pool-gardien'!$K$5:$K$127)</f>
        <v>0</v>
      </c>
      <c r="O147" s="99">
        <f>SUMIF('[1]Equipes-Pool'!$B$6:$B$35,C147,'[1]Equipes-Pool'!$D$6:$D$35)</f>
        <v>0</v>
      </c>
      <c r="P147" s="99">
        <f>SUMIF('[1]Equipes-Pool'!$B$6:$B$35,C147,'[1]Equipes-Pool'!$E$6:$E$35)</f>
        <v>0</v>
      </c>
      <c r="Q147" s="99">
        <f>SUMIF('[1]Equipes-Pool'!$B$6:$B$35,C147,'[1]Equipes-Pool'!$F$6:$F$35)</f>
        <v>0</v>
      </c>
      <c r="R147" s="100">
        <f>SUMIF('[1]Equipes-Pool'!$B$6:$B$35,C147,'[1]Equipes-Pool'!$G$6:$G$35)</f>
        <v>0</v>
      </c>
    </row>
    <row r="148" spans="1:18" ht="15.75">
      <c r="A148" s="20" t="s">
        <v>364</v>
      </c>
      <c r="B148" s="21" t="s">
        <v>41</v>
      </c>
      <c r="C148" s="80" t="s">
        <v>419</v>
      </c>
      <c r="D148" s="63" t="s">
        <v>385</v>
      </c>
      <c r="E148" s="65" t="s">
        <v>8</v>
      </c>
      <c r="F148" s="106">
        <f>SUMIF('[1]Equipes-Pool'!$B$6:$B$35,C148,'[1]Equipes-Pool'!$C$6:$C$35)</f>
        <v>67</v>
      </c>
      <c r="G148" s="35">
        <f>SUMIF('[1]POOL-joueus'!$D$5:$D$808,C148,'[1]POOL-joueus'!$F$5:F$808)</f>
        <v>0</v>
      </c>
      <c r="H148" s="35">
        <f>SUMIF('[1]POOL-joueus'!$D$5:$D$808,C148,'[1]POOL-joueus'!$G$5:G$808)</f>
        <v>0</v>
      </c>
      <c r="I148" s="89">
        <f t="shared" si="6"/>
        <v>0</v>
      </c>
      <c r="J148" s="87">
        <f t="shared" si="7"/>
        <v>0</v>
      </c>
      <c r="K148" s="35">
        <f>SUMIF('[1]Pool-gardien'!$D$5:$D$127,C148,'[1]Pool-gardien'!$F$5:$F$127)</f>
        <v>0</v>
      </c>
      <c r="L148" s="35">
        <f>SUMIF('[1]Pool-gardien'!$D$5:$D$127,C148,'[1]Pool-gardien'!$G$5:$G$127)</f>
        <v>0</v>
      </c>
      <c r="M148" s="35">
        <f>SUMIF('[1]Pool-gardien'!$D$5:$D$127,C148,'[1]Pool-gardien'!$H$5:$H$127)</f>
        <v>0</v>
      </c>
      <c r="N148" s="89">
        <f>SUMIF('[1]Pool-gardien'!$D$5:$D$127,C148,'[1]Pool-gardien'!$K$5:$K$127)</f>
        <v>0</v>
      </c>
      <c r="O148" s="106">
        <f>SUMIF('[1]Equipes-Pool'!$B$6:$B$35,C148,'[1]Equipes-Pool'!$D$6:$D$35)</f>
        <v>86</v>
      </c>
      <c r="P148" s="106">
        <f>SUMIF('[1]Equipes-Pool'!$B$6:$B$35,C148,'[1]Equipes-Pool'!$E$6:$E$35)</f>
        <v>219</v>
      </c>
      <c r="Q148" s="106">
        <f>SUMIF('[1]Equipes-Pool'!$B$6:$B$35,C148,'[1]Equipes-Pool'!$F$6:$F$35)</f>
        <v>199</v>
      </c>
      <c r="R148" s="107">
        <f>SUMIF('[1]Equipes-Pool'!$B$6:$B$35,C148,'[1]Equipes-Pool'!$G$6:$G$35)</f>
        <v>106</v>
      </c>
    </row>
    <row r="149" spans="1:18" ht="15.75">
      <c r="A149" s="20" t="s">
        <v>364</v>
      </c>
      <c r="B149" s="21" t="s">
        <v>111</v>
      </c>
      <c r="C149" s="80" t="s">
        <v>420</v>
      </c>
      <c r="D149" s="62" t="s">
        <v>385</v>
      </c>
      <c r="E149" s="10" t="s">
        <v>16</v>
      </c>
      <c r="F149" s="83">
        <f>SUMIF('[1]Equipes-Pool'!$B$6:$B$35,C149,'[1]Equipes-Pool'!$C$6:$C$35)</f>
        <v>65</v>
      </c>
      <c r="G149" s="30">
        <f>SUMIF('[1]POOL-joueus'!$D$5:$D$808,C149,'[1]POOL-joueus'!$F$5:F$808)</f>
        <v>0</v>
      </c>
      <c r="H149" s="30">
        <f>SUMIF('[1]POOL-joueus'!$D$5:$D$808,C149,'[1]POOL-joueus'!$G$5:G$808)</f>
        <v>0</v>
      </c>
      <c r="I149" s="91">
        <f t="shared" si="6"/>
        <v>0</v>
      </c>
      <c r="J149" s="81">
        <f t="shared" si="7"/>
        <v>0</v>
      </c>
      <c r="K149" s="30">
        <f>SUMIF('[1]Pool-gardien'!$D$5:$D$127,C149,'[1]Pool-gardien'!$F$5:$F$127)</f>
        <v>0</v>
      </c>
      <c r="L149" s="30">
        <f>SUMIF('[1]Pool-gardien'!$D$5:$D$127,C149,'[1]Pool-gardien'!$G$5:$G$127)</f>
        <v>0</v>
      </c>
      <c r="M149" s="30">
        <f>SUMIF('[1]Pool-gardien'!$D$5:$D$127,C149,'[1]Pool-gardien'!$H$5:$H$127)</f>
        <v>0</v>
      </c>
      <c r="N149" s="91">
        <f>SUMIF('[1]Pool-gardien'!$D$5:$D$127,C149,'[1]Pool-gardien'!$K$5:$K$127)</f>
        <v>0</v>
      </c>
      <c r="O149" s="83">
        <f>SUMIF('[1]Equipes-Pool'!$B$6:$B$35,C149,'[1]Equipes-Pool'!$D$6:$D$35)</f>
        <v>70</v>
      </c>
      <c r="P149" s="83">
        <f>SUMIF('[1]Equipes-Pool'!$B$6:$B$35,C149,'[1]Equipes-Pool'!$E$6:$E$35)</f>
        <v>184</v>
      </c>
      <c r="Q149" s="83">
        <f>SUMIF('[1]Equipes-Pool'!$B$6:$B$35,C149,'[1]Equipes-Pool'!$F$6:$F$35)</f>
        <v>199</v>
      </c>
      <c r="R149" s="93">
        <f>SUMIF('[1]Equipes-Pool'!$B$6:$B$35,C149,'[1]Equipes-Pool'!$G$6:$G$35)</f>
        <v>55</v>
      </c>
    </row>
    <row r="150" spans="1:18" ht="15.75">
      <c r="A150" s="20" t="s">
        <v>364</v>
      </c>
      <c r="B150" s="21" t="s">
        <v>78</v>
      </c>
      <c r="C150" s="80" t="s">
        <v>421</v>
      </c>
      <c r="D150" s="62" t="s">
        <v>385</v>
      </c>
      <c r="E150" s="10" t="s">
        <v>23</v>
      </c>
      <c r="F150" s="83">
        <f>SUMIF('[1]Equipes-Pool'!$B$6:$B$35,C150,'[1]Equipes-Pool'!$C$6:$C$35)</f>
        <v>63</v>
      </c>
      <c r="G150" s="30">
        <f>SUMIF('[1]POOL-joueus'!$D$5:$D$808,C150,'[1]POOL-joueus'!$F$5:F$808)</f>
        <v>0</v>
      </c>
      <c r="H150" s="30">
        <f>SUMIF('[1]POOL-joueus'!$D$5:$D$808,C150,'[1]POOL-joueus'!$G$5:G$808)</f>
        <v>0</v>
      </c>
      <c r="I150" s="91">
        <f t="shared" si="6"/>
        <v>0</v>
      </c>
      <c r="J150" s="81">
        <f t="shared" si="7"/>
        <v>0</v>
      </c>
      <c r="K150" s="30">
        <f>SUMIF('[1]Pool-gardien'!$D$5:$D$127,C150,'[1]Pool-gardien'!$F$5:$F$127)</f>
        <v>0</v>
      </c>
      <c r="L150" s="30">
        <f>SUMIF('[1]Pool-gardien'!$D$5:$D$127,C150,'[1]Pool-gardien'!$G$5:$G$127)</f>
        <v>0</v>
      </c>
      <c r="M150" s="30">
        <f>SUMIF('[1]Pool-gardien'!$D$5:$D$127,C150,'[1]Pool-gardien'!$H$5:$H$127)</f>
        <v>0</v>
      </c>
      <c r="N150" s="91">
        <f>SUMIF('[1]Pool-gardien'!$D$5:$D$127,C150,'[1]Pool-gardien'!$K$5:$K$127)</f>
        <v>0</v>
      </c>
      <c r="O150" s="83">
        <f>SUMIF('[1]Equipes-Pool'!$B$6:$B$35,C150,'[1]Equipes-Pool'!$D$6:$D$35)</f>
        <v>81</v>
      </c>
      <c r="P150" s="83">
        <f>SUMIF('[1]Equipes-Pool'!$B$6:$B$35,C150,'[1]Equipes-Pool'!$E$6:$E$35)</f>
        <v>211</v>
      </c>
      <c r="Q150" s="83">
        <f>SUMIF('[1]Equipes-Pool'!$B$6:$B$35,C150,'[1]Equipes-Pool'!$F$6:$F$35)</f>
        <v>162</v>
      </c>
      <c r="R150" s="93">
        <f>SUMIF('[1]Equipes-Pool'!$B$6:$B$35,C150,'[1]Equipes-Pool'!$G$6:$G$35)</f>
        <v>130</v>
      </c>
    </row>
    <row r="151" spans="1:18" ht="15.75">
      <c r="A151" s="12" t="s">
        <v>33</v>
      </c>
      <c r="B151" s="14" t="s">
        <v>29</v>
      </c>
      <c r="C151" s="55" t="s">
        <v>232</v>
      </c>
      <c r="D151" s="62" t="s">
        <v>385</v>
      </c>
      <c r="E151" s="10" t="s">
        <v>32</v>
      </c>
      <c r="F151" s="84">
        <f>SUMIF('[1]POOL-joueus'!$D$5:$D$808,C151,'[1]POOL-joueus'!$E$5:$E$808)</f>
        <v>10</v>
      </c>
      <c r="G151" s="84">
        <f>SUMIF('[1]POOL-joueus'!$D$5:$D$808,C151,'[1]POOL-joueus'!$F$5:F$808)</f>
        <v>0</v>
      </c>
      <c r="H151" s="84">
        <f>SUMIF('[1]POOL-joueus'!$D$5:$D$808,C151,'[1]POOL-joueus'!$G$5:G$808)</f>
        <v>2</v>
      </c>
      <c r="I151" s="90">
        <f t="shared" si="6"/>
        <v>2</v>
      </c>
      <c r="J151" s="85">
        <f t="shared" si="7"/>
        <v>0.2</v>
      </c>
      <c r="K151" s="30">
        <f>SUMIF('[1]Pool-gardien'!$D$5:$D$127,C151,'[1]Pool-gardien'!$F$5:$F$127)</f>
        <v>0</v>
      </c>
      <c r="L151" s="30">
        <f>SUMIF('[1]Pool-gardien'!$D$5:$D$127,C151,'[1]Pool-gardien'!$G$5:$G$127)</f>
        <v>0</v>
      </c>
      <c r="M151" s="30">
        <f>SUMIF('[1]Pool-gardien'!$D$5:$D$127,C151,'[1]Pool-gardien'!$H$5:$H$127)</f>
        <v>0</v>
      </c>
      <c r="N151" s="91">
        <f>SUMIF('[1]Pool-gardien'!$D$5:$D$127,C151,'[1]Pool-gardien'!$K$5:$K$127)</f>
        <v>0</v>
      </c>
      <c r="O151" s="30">
        <f>SUMIF('[1]Equipes-Pool'!$B$6:$B$35,C151,'[1]Equipes-Pool'!$D$6:$D$35)</f>
        <v>0</v>
      </c>
      <c r="P151" s="30">
        <f>SUMIF('[1]Equipes-Pool'!$B$6:$B$35,C151,'[1]Equipes-Pool'!$E$6:$E$35)</f>
        <v>0</v>
      </c>
      <c r="Q151" s="30">
        <f>SUMIF('[1]Equipes-Pool'!$B$6:$B$35,C151,'[1]Equipes-Pool'!$F$6:$F$35)</f>
        <v>0</v>
      </c>
      <c r="R151" s="91">
        <f>SUMIF('[1]Equipes-Pool'!$B$6:$B$35,C151,'[1]Equipes-Pool'!$G$6:$G$35)</f>
        <v>0</v>
      </c>
    </row>
    <row r="152" spans="1:18" ht="15.75">
      <c r="A152" s="20" t="s">
        <v>364</v>
      </c>
      <c r="B152" s="14" t="s">
        <v>75</v>
      </c>
      <c r="C152" s="80" t="s">
        <v>422</v>
      </c>
      <c r="D152" s="62" t="s">
        <v>385</v>
      </c>
      <c r="E152" s="10" t="s">
        <v>39</v>
      </c>
      <c r="F152" s="83">
        <f>SUMIF('[1]Equipes-Pool'!$B$6:$B$35,C152,'[1]Equipes-Pool'!$C$6:$C$35)</f>
        <v>67</v>
      </c>
      <c r="G152" s="30">
        <f>SUMIF('[1]POOL-joueus'!$D$5:$D$808,C152,'[1]POOL-joueus'!$F$5:F$808)</f>
        <v>0</v>
      </c>
      <c r="H152" s="30">
        <f>SUMIF('[1]POOL-joueus'!$D$5:$D$808,C152,'[1]POOL-joueus'!$G$5:G$808)</f>
        <v>0</v>
      </c>
      <c r="I152" s="91">
        <f t="shared" si="6"/>
        <v>0</v>
      </c>
      <c r="J152" s="81">
        <f t="shared" si="7"/>
        <v>0</v>
      </c>
      <c r="K152" s="30">
        <f>SUMIF('[1]Pool-gardien'!$D$5:$D$127,C152,'[1]Pool-gardien'!$F$5:$F$127)</f>
        <v>0</v>
      </c>
      <c r="L152" s="30">
        <f>SUMIF('[1]Pool-gardien'!$D$5:$D$127,C152,'[1]Pool-gardien'!$G$5:$G$127)</f>
        <v>0</v>
      </c>
      <c r="M152" s="30">
        <f>SUMIF('[1]Pool-gardien'!$D$5:$D$127,C152,'[1]Pool-gardien'!$H$5:$H$127)</f>
        <v>0</v>
      </c>
      <c r="N152" s="91">
        <f>SUMIF('[1]Pool-gardien'!$D$5:$D$127,C152,'[1]Pool-gardien'!$K$5:$K$127)</f>
        <v>0</v>
      </c>
      <c r="O152" s="83">
        <f>SUMIF('[1]Equipes-Pool'!$B$6:$B$35,C152,'[1]Equipes-Pool'!$D$6:$D$35)</f>
        <v>68</v>
      </c>
      <c r="P152" s="83">
        <f>SUMIF('[1]Equipes-Pool'!$B$6:$B$35,C152,'[1]Equipes-Pool'!$E$6:$E$35)</f>
        <v>186</v>
      </c>
      <c r="Q152" s="83">
        <f>SUMIF('[1]Equipes-Pool'!$B$6:$B$35,C152,'[1]Equipes-Pool'!$F$6:$F$35)</f>
        <v>197</v>
      </c>
      <c r="R152" s="93">
        <f>SUMIF('[1]Equipes-Pool'!$B$6:$B$35,C152,'[1]Equipes-Pool'!$G$6:$G$35)</f>
        <v>57</v>
      </c>
    </row>
    <row r="153" spans="1:18" ht="15.75">
      <c r="A153" s="12" t="s">
        <v>12</v>
      </c>
      <c r="B153" s="14" t="s">
        <v>105</v>
      </c>
      <c r="C153" s="55" t="s">
        <v>236</v>
      </c>
      <c r="D153" s="62" t="s">
        <v>385</v>
      </c>
      <c r="E153" s="10" t="s">
        <v>45</v>
      </c>
      <c r="F153" s="84">
        <f>SUMIF('[1]POOL-joueus'!$D$5:$D$808,C153,'[1]POOL-joueus'!$E$5:$E$808)</f>
        <v>66</v>
      </c>
      <c r="G153" s="84">
        <f>SUMIF('[1]POOL-joueus'!$D$5:$D$808,C153,'[1]POOL-joueus'!$F$5:F$808)</f>
        <v>14</v>
      </c>
      <c r="H153" s="84">
        <f>SUMIF('[1]POOL-joueus'!$D$5:$D$808,C153,'[1]POOL-joueus'!$G$5:G$808)</f>
        <v>26</v>
      </c>
      <c r="I153" s="90">
        <f t="shared" si="6"/>
        <v>40</v>
      </c>
      <c r="J153" s="85">
        <f t="shared" si="7"/>
        <v>0.6060606060606061</v>
      </c>
      <c r="K153" s="30">
        <f>SUMIF('[1]Pool-gardien'!$D$5:$D$127,C153,'[1]Pool-gardien'!$F$5:$F$127)</f>
        <v>0</v>
      </c>
      <c r="L153" s="30">
        <f>SUMIF('[1]Pool-gardien'!$D$5:$D$127,C153,'[1]Pool-gardien'!$G$5:$G$127)</f>
        <v>0</v>
      </c>
      <c r="M153" s="30">
        <f>SUMIF('[1]Pool-gardien'!$D$5:$D$127,C153,'[1]Pool-gardien'!$H$5:$H$127)</f>
        <v>0</v>
      </c>
      <c r="N153" s="91">
        <f>SUMIF('[1]Pool-gardien'!$D$5:$D$127,C153,'[1]Pool-gardien'!$K$5:$K$127)</f>
        <v>0</v>
      </c>
      <c r="O153" s="30">
        <f>SUMIF('[1]Equipes-Pool'!$B$6:$B$35,C153,'[1]Equipes-Pool'!$D$6:$D$35)</f>
        <v>0</v>
      </c>
      <c r="P153" s="30">
        <f>SUMIF('[1]Equipes-Pool'!$B$6:$B$35,C153,'[1]Equipes-Pool'!$E$6:$E$35)</f>
        <v>0</v>
      </c>
      <c r="Q153" s="30">
        <f>SUMIF('[1]Equipes-Pool'!$B$6:$B$35,C153,'[1]Equipes-Pool'!$F$6:$F$35)</f>
        <v>0</v>
      </c>
      <c r="R153" s="91">
        <f>SUMIF('[1]Equipes-Pool'!$B$6:$B$35,C153,'[1]Equipes-Pool'!$G$6:$G$35)</f>
        <v>0</v>
      </c>
    </row>
    <row r="154" spans="1:18" ht="15.75">
      <c r="A154" s="29" t="s">
        <v>40</v>
      </c>
      <c r="B154" s="14" t="s">
        <v>75</v>
      </c>
      <c r="C154" s="55" t="s">
        <v>238</v>
      </c>
      <c r="D154" s="62" t="s">
        <v>385</v>
      </c>
      <c r="E154" s="10" t="s">
        <v>52</v>
      </c>
      <c r="F154" s="84">
        <f>SUMIF('[1]POOL-joueus'!$D$5:$D$808,C154,'[1]POOL-joueus'!$E$5:$E$808)</f>
        <v>65</v>
      </c>
      <c r="G154" s="84">
        <f>SUMIF('[1]POOL-joueus'!$D$5:$D$808,C154,'[1]POOL-joueus'!$F$5:F$808)</f>
        <v>10</v>
      </c>
      <c r="H154" s="84">
        <f>SUMIF('[1]POOL-joueus'!$D$5:$D$808,C154,'[1]POOL-joueus'!$G$5:G$808)</f>
        <v>12</v>
      </c>
      <c r="I154" s="90">
        <f t="shared" si="6"/>
        <v>22</v>
      </c>
      <c r="J154" s="85">
        <f t="shared" si="7"/>
        <v>0.3384615384615385</v>
      </c>
      <c r="K154" s="30">
        <f>SUMIF('[1]Pool-gardien'!$D$5:$D$127,C154,'[1]Pool-gardien'!$F$5:$F$127)</f>
        <v>0</v>
      </c>
      <c r="L154" s="30">
        <f>SUMIF('[1]Pool-gardien'!$D$5:$D$127,C154,'[1]Pool-gardien'!$G$5:$G$127)</f>
        <v>0</v>
      </c>
      <c r="M154" s="30">
        <f>SUMIF('[1]Pool-gardien'!$D$5:$D$127,C154,'[1]Pool-gardien'!$H$5:$H$127)</f>
        <v>0</v>
      </c>
      <c r="N154" s="91">
        <f>SUMIF('[1]Pool-gardien'!$D$5:$D$127,C154,'[1]Pool-gardien'!$K$5:$K$127)</f>
        <v>0</v>
      </c>
      <c r="O154" s="30">
        <f>SUMIF('[1]Equipes-Pool'!$B$6:$B$35,C154,'[1]Equipes-Pool'!$D$6:$D$35)</f>
        <v>0</v>
      </c>
      <c r="P154" s="30">
        <f>SUMIF('[1]Equipes-Pool'!$B$6:$B$35,C154,'[1]Equipes-Pool'!$E$6:$E$35)</f>
        <v>0</v>
      </c>
      <c r="Q154" s="30">
        <f>SUMIF('[1]Equipes-Pool'!$B$6:$B$35,C154,'[1]Equipes-Pool'!$F$6:$F$35)</f>
        <v>0</v>
      </c>
      <c r="R154" s="91">
        <f>SUMIF('[1]Equipes-Pool'!$B$6:$B$35,C154,'[1]Equipes-Pool'!$G$6:$G$35)</f>
        <v>0</v>
      </c>
    </row>
    <row r="155" spans="1:18" ht="15.75">
      <c r="A155" s="12" t="s">
        <v>24</v>
      </c>
      <c r="B155" s="14" t="s">
        <v>55</v>
      </c>
      <c r="C155" s="55" t="s">
        <v>240</v>
      </c>
      <c r="D155" s="62" t="s">
        <v>385</v>
      </c>
      <c r="E155" s="10" t="s">
        <v>27</v>
      </c>
      <c r="F155" s="30">
        <f>SUMIF('[1]POOL-joueus'!$D$5:$D$808,C155,'[1]POOL-joueus'!$E$5:$E$808)</f>
        <v>8</v>
      </c>
      <c r="G155" s="30">
        <f>SUMIF('[1]POOL-joueus'!$D$5:$D$808,C155,'[1]POOL-joueus'!$F$5:F$808)</f>
        <v>4</v>
      </c>
      <c r="H155" s="30">
        <f>SUMIF('[1]POOL-joueus'!$D$5:$D$808,C155,'[1]POOL-joueus'!$G$5:G$808)</f>
        <v>0</v>
      </c>
      <c r="I155" s="91">
        <f t="shared" si="6"/>
        <v>4</v>
      </c>
      <c r="J155" s="81">
        <f t="shared" si="7"/>
        <v>0.5</v>
      </c>
      <c r="K155" s="30">
        <f>SUMIF('[1]Pool-gardien'!$D$5:$D$127,C155,'[1]Pool-gardien'!$F$5:$F$127)</f>
        <v>0</v>
      </c>
      <c r="L155" s="30">
        <f>SUMIF('[1]Pool-gardien'!$D$5:$D$127,C155,'[1]Pool-gardien'!$G$5:$G$127)</f>
        <v>0</v>
      </c>
      <c r="M155" s="30">
        <f>SUMIF('[1]Pool-gardien'!$D$5:$D$127,C155,'[1]Pool-gardien'!$H$5:$H$127)</f>
        <v>0</v>
      </c>
      <c r="N155" s="91">
        <f>SUMIF('[1]Pool-gardien'!$D$5:$D$127,C155,'[1]Pool-gardien'!$K$5:$K$127)</f>
        <v>0</v>
      </c>
      <c r="O155" s="30">
        <f>SUMIF('[1]Equipes-Pool'!$B$6:$B$35,C155,'[1]Equipes-Pool'!$D$6:$D$35)</f>
        <v>0</v>
      </c>
      <c r="P155" s="30">
        <f>SUMIF('[1]Equipes-Pool'!$B$6:$B$35,C155,'[1]Equipes-Pool'!$E$6:$E$35)</f>
        <v>0</v>
      </c>
      <c r="Q155" s="30">
        <f>SUMIF('[1]Equipes-Pool'!$B$6:$B$35,C155,'[1]Equipes-Pool'!$F$6:$F$35)</f>
        <v>0</v>
      </c>
      <c r="R155" s="91">
        <f>SUMIF('[1]Equipes-Pool'!$B$6:$B$35,C155,'[1]Equipes-Pool'!$G$6:$G$35)</f>
        <v>0</v>
      </c>
    </row>
    <row r="156" spans="1:18" ht="15.75">
      <c r="A156" s="20" t="s">
        <v>364</v>
      </c>
      <c r="B156" s="14" t="s">
        <v>10</v>
      </c>
      <c r="C156" s="80" t="s">
        <v>423</v>
      </c>
      <c r="D156" s="62" t="s">
        <v>385</v>
      </c>
      <c r="E156" s="10" t="s">
        <v>62</v>
      </c>
      <c r="F156" s="83">
        <f>SUMIF('[1]Equipes-Pool'!$B$6:$B$35,C156,'[1]Equipes-Pool'!$C$6:$C$35)</f>
        <v>4</v>
      </c>
      <c r="G156" s="30">
        <f>SUMIF('[1]POOL-joueus'!$D$5:$D$808,C156,'[1]POOL-joueus'!$F$5:F$808)</f>
        <v>0</v>
      </c>
      <c r="H156" s="30">
        <f>SUMIF('[1]POOL-joueus'!$D$5:$D$808,C156,'[1]POOL-joueus'!$G$5:G$808)</f>
        <v>0</v>
      </c>
      <c r="I156" s="91">
        <f t="shared" si="6"/>
        <v>0</v>
      </c>
      <c r="J156" s="81">
        <f t="shared" si="7"/>
        <v>0</v>
      </c>
      <c r="K156" s="30">
        <f>SUMIF('[1]Pool-gardien'!$D$5:$D$127,C156,'[1]Pool-gardien'!$F$5:$F$127)</f>
        <v>0</v>
      </c>
      <c r="L156" s="30">
        <f>SUMIF('[1]Pool-gardien'!$D$5:$D$127,C156,'[1]Pool-gardien'!$G$5:$G$127)</f>
        <v>0</v>
      </c>
      <c r="M156" s="30">
        <f>SUMIF('[1]Pool-gardien'!$D$5:$D$127,C156,'[1]Pool-gardien'!$H$5:$H$127)</f>
        <v>0</v>
      </c>
      <c r="N156" s="91">
        <f>SUMIF('[1]Pool-gardien'!$D$5:$D$127,C156,'[1]Pool-gardien'!$K$5:$K$127)</f>
        <v>0</v>
      </c>
      <c r="O156" s="83">
        <f>SUMIF('[1]Equipes-Pool'!$B$6:$B$35,C156,'[1]Equipes-Pool'!$D$6:$D$35)</f>
        <v>2</v>
      </c>
      <c r="P156" s="83">
        <f>SUMIF('[1]Equipes-Pool'!$B$6:$B$35,C156,'[1]Equipes-Pool'!$E$6:$E$35)</f>
        <v>8</v>
      </c>
      <c r="Q156" s="83">
        <f>SUMIF('[1]Equipes-Pool'!$B$6:$B$35,C156,'[1]Equipes-Pool'!$F$6:$F$35)</f>
        <v>12</v>
      </c>
      <c r="R156" s="93">
        <f>SUMIF('[1]Equipes-Pool'!$B$6:$B$35,C156,'[1]Equipes-Pool'!$G$6:$G$35)</f>
        <v>-2</v>
      </c>
    </row>
    <row r="157" spans="1:18" ht="16.5" thickBot="1">
      <c r="A157" s="49" t="s">
        <v>33</v>
      </c>
      <c r="B157" s="50" t="s">
        <v>75</v>
      </c>
      <c r="C157" s="66" t="s">
        <v>244</v>
      </c>
      <c r="D157" s="64" t="s">
        <v>385</v>
      </c>
      <c r="E157" s="59" t="s">
        <v>65</v>
      </c>
      <c r="F157" s="96">
        <f>SUMIF('[1]POOL-joueus'!$D$5:$D$808,C157,'[1]POOL-joueus'!$E$5:$E$808)</f>
        <v>18</v>
      </c>
      <c r="G157" s="96">
        <f>SUMIF('[1]POOL-joueus'!$D$5:$D$808,C157,'[1]POOL-joueus'!$F$5:F$808)</f>
        <v>4</v>
      </c>
      <c r="H157" s="96">
        <f>SUMIF('[1]POOL-joueus'!$D$5:$D$808,C157,'[1]POOL-joueus'!$G$5:G$808)</f>
        <v>1</v>
      </c>
      <c r="I157" s="97">
        <f t="shared" si="6"/>
        <v>5</v>
      </c>
      <c r="J157" s="98">
        <f t="shared" si="7"/>
        <v>0.2777777777777778</v>
      </c>
      <c r="K157" s="99">
        <f>SUMIF('[1]Pool-gardien'!$D$5:$D$127,C157,'[1]Pool-gardien'!$F$5:$F$127)</f>
        <v>0</v>
      </c>
      <c r="L157" s="99">
        <f>SUMIF('[1]Pool-gardien'!$D$5:$D$127,C157,'[1]Pool-gardien'!$G$5:$G$127)</f>
        <v>0</v>
      </c>
      <c r="M157" s="99">
        <f>SUMIF('[1]Pool-gardien'!$D$5:$D$127,C157,'[1]Pool-gardien'!$H$5:$H$127)</f>
        <v>0</v>
      </c>
      <c r="N157" s="100">
        <f>SUMIF('[1]Pool-gardien'!$D$5:$D$127,C157,'[1]Pool-gardien'!$K$5:$K$127)</f>
        <v>0</v>
      </c>
      <c r="O157" s="99">
        <f>SUMIF('[1]Equipes-Pool'!$B$6:$B$35,C157,'[1]Equipes-Pool'!$D$6:$D$35)</f>
        <v>0</v>
      </c>
      <c r="P157" s="99">
        <f>SUMIF('[1]Equipes-Pool'!$B$6:$B$35,C157,'[1]Equipes-Pool'!$E$6:$E$35)</f>
        <v>0</v>
      </c>
      <c r="Q157" s="99">
        <f>SUMIF('[1]Equipes-Pool'!$B$6:$B$35,C157,'[1]Equipes-Pool'!$F$6:$F$35)</f>
        <v>0</v>
      </c>
      <c r="R157" s="100">
        <f>SUMIF('[1]Equipes-Pool'!$B$6:$B$35,C157,'[1]Equipes-Pool'!$G$6:$G$35)</f>
        <v>0</v>
      </c>
    </row>
    <row r="158" spans="1:18" ht="15.75">
      <c r="A158" s="20" t="s">
        <v>40</v>
      </c>
      <c r="B158" s="21" t="s">
        <v>154</v>
      </c>
      <c r="C158" s="67" t="s">
        <v>227</v>
      </c>
      <c r="D158" s="63" t="s">
        <v>386</v>
      </c>
      <c r="E158" s="65" t="s">
        <v>8</v>
      </c>
      <c r="F158" s="40">
        <f>SUMIF('[1]POOL-joueus'!$D$5:$D$808,C158,'[1]POOL-joueus'!$E$5:$E$808)</f>
        <v>60</v>
      </c>
      <c r="G158" s="40">
        <f>SUMIF('[1]POOL-joueus'!$D$5:$D$808,C158,'[1]POOL-joueus'!$F$5:F$808)</f>
        <v>10</v>
      </c>
      <c r="H158" s="40">
        <f>SUMIF('[1]POOL-joueus'!$D$5:$D$808,C158,'[1]POOL-joueus'!$G$5:G$808)</f>
        <v>16</v>
      </c>
      <c r="I158" s="94">
        <f t="shared" si="6"/>
        <v>26</v>
      </c>
      <c r="J158" s="95">
        <f t="shared" si="7"/>
        <v>0.43333333333333335</v>
      </c>
      <c r="K158" s="35">
        <f>SUMIF('[1]Pool-gardien'!$D$5:$D$127,C158,'[1]Pool-gardien'!$F$5:$F$127)</f>
        <v>0</v>
      </c>
      <c r="L158" s="35">
        <f>SUMIF('[1]Pool-gardien'!$D$5:$D$127,C158,'[1]Pool-gardien'!$G$5:$G$127)</f>
        <v>0</v>
      </c>
      <c r="M158" s="35">
        <f>SUMIF('[1]Pool-gardien'!$D$5:$D$127,C158,'[1]Pool-gardien'!$H$5:$H$127)</f>
        <v>0</v>
      </c>
      <c r="N158" s="89">
        <f>SUMIF('[1]Pool-gardien'!$D$5:$D$127,C158,'[1]Pool-gardien'!$K$5:$K$127)</f>
        <v>0</v>
      </c>
      <c r="O158" s="35">
        <f>SUMIF('[1]Equipes-Pool'!$B$6:$B$35,C158,'[1]Equipes-Pool'!$D$6:$D$35)</f>
        <v>0</v>
      </c>
      <c r="P158" s="35">
        <f>SUMIF('[1]Equipes-Pool'!$B$6:$B$35,C158,'[1]Equipes-Pool'!$E$6:$E$35)</f>
        <v>0</v>
      </c>
      <c r="Q158" s="35">
        <f>SUMIF('[1]Equipes-Pool'!$B$6:$B$35,C158,'[1]Equipes-Pool'!$F$6:$F$35)</f>
        <v>0</v>
      </c>
      <c r="R158" s="89">
        <f>SUMIF('[1]Equipes-Pool'!$B$6:$B$35,C158,'[1]Equipes-Pool'!$G$6:$G$35)</f>
        <v>0</v>
      </c>
    </row>
    <row r="159" spans="1:18" ht="15.75">
      <c r="A159" s="12" t="s">
        <v>12</v>
      </c>
      <c r="B159" s="14" t="s">
        <v>17</v>
      </c>
      <c r="C159" s="55" t="s">
        <v>229</v>
      </c>
      <c r="D159" s="62" t="s">
        <v>386</v>
      </c>
      <c r="E159" s="10" t="s">
        <v>16</v>
      </c>
      <c r="F159" s="84">
        <f>SUMIF('[1]POOL-joueus'!$D$5:$D$808,C159,'[1]POOL-joueus'!$E$5:$E$808)</f>
        <v>64</v>
      </c>
      <c r="G159" s="84">
        <f>SUMIF('[1]POOL-joueus'!$D$5:$D$808,C159,'[1]POOL-joueus'!$F$5:F$808)</f>
        <v>22</v>
      </c>
      <c r="H159" s="84">
        <f>SUMIF('[1]POOL-joueus'!$D$5:$D$808,C159,'[1]POOL-joueus'!$G$5:G$808)</f>
        <v>24</v>
      </c>
      <c r="I159" s="90">
        <f t="shared" si="6"/>
        <v>46</v>
      </c>
      <c r="J159" s="85">
        <f t="shared" si="7"/>
        <v>0.71875</v>
      </c>
      <c r="K159" s="30">
        <f>SUMIF('[1]Pool-gardien'!$D$5:$D$127,C159,'[1]Pool-gardien'!$F$5:$F$127)</f>
        <v>0</v>
      </c>
      <c r="L159" s="30">
        <f>SUMIF('[1]Pool-gardien'!$D$5:$D$127,C159,'[1]Pool-gardien'!$G$5:$G$127)</f>
        <v>0</v>
      </c>
      <c r="M159" s="30">
        <f>SUMIF('[1]Pool-gardien'!$D$5:$D$127,C159,'[1]Pool-gardien'!$H$5:$H$127)</f>
        <v>0</v>
      </c>
      <c r="N159" s="91">
        <f>SUMIF('[1]Pool-gardien'!$D$5:$D$127,C159,'[1]Pool-gardien'!$K$5:$K$127)</f>
        <v>0</v>
      </c>
      <c r="O159" s="30">
        <f>SUMIF('[1]Equipes-Pool'!$B$6:$B$35,C159,'[1]Equipes-Pool'!$D$6:$D$35)</f>
        <v>0</v>
      </c>
      <c r="P159" s="30">
        <f>SUMIF('[1]Equipes-Pool'!$B$6:$B$35,C159,'[1]Equipes-Pool'!$E$6:$E$35)</f>
        <v>0</v>
      </c>
      <c r="Q159" s="30">
        <f>SUMIF('[1]Equipes-Pool'!$B$6:$B$35,C159,'[1]Equipes-Pool'!$F$6:$F$35)</f>
        <v>0</v>
      </c>
      <c r="R159" s="91">
        <f>SUMIF('[1]Equipes-Pool'!$B$6:$B$35,C159,'[1]Equipes-Pool'!$G$6:$G$35)</f>
        <v>0</v>
      </c>
    </row>
    <row r="160" spans="1:18" ht="15.75">
      <c r="A160" s="12" t="s">
        <v>40</v>
      </c>
      <c r="B160" s="14" t="s">
        <v>105</v>
      </c>
      <c r="C160" s="55" t="s">
        <v>231</v>
      </c>
      <c r="D160" s="62" t="s">
        <v>386</v>
      </c>
      <c r="E160" s="10" t="s">
        <v>23</v>
      </c>
      <c r="F160" s="84">
        <f>SUMIF('[1]POOL-joueus'!$D$5:$D$808,C160,'[1]POOL-joueus'!$E$5:$E$808)</f>
        <v>62</v>
      </c>
      <c r="G160" s="84">
        <f>SUMIF('[1]POOL-joueus'!$D$5:$D$808,C160,'[1]POOL-joueus'!$F$5:F$808)</f>
        <v>20</v>
      </c>
      <c r="H160" s="84">
        <f>SUMIF('[1]POOL-joueus'!$D$5:$D$808,C160,'[1]POOL-joueus'!$G$5:G$808)</f>
        <v>17</v>
      </c>
      <c r="I160" s="90">
        <f t="shared" si="6"/>
        <v>37</v>
      </c>
      <c r="J160" s="85">
        <f t="shared" si="7"/>
        <v>0.5967741935483871</v>
      </c>
      <c r="K160" s="30">
        <f>SUMIF('[1]Pool-gardien'!$D$5:$D$127,C160,'[1]Pool-gardien'!$F$5:$F$127)</f>
        <v>0</v>
      </c>
      <c r="L160" s="30">
        <f>SUMIF('[1]Pool-gardien'!$D$5:$D$127,C160,'[1]Pool-gardien'!$G$5:$G$127)</f>
        <v>0</v>
      </c>
      <c r="M160" s="30">
        <f>SUMIF('[1]Pool-gardien'!$D$5:$D$127,C160,'[1]Pool-gardien'!$H$5:$H$127)</f>
        <v>0</v>
      </c>
      <c r="N160" s="91">
        <f>SUMIF('[1]Pool-gardien'!$D$5:$D$127,C160,'[1]Pool-gardien'!$K$5:$K$127)</f>
        <v>0</v>
      </c>
      <c r="O160" s="30">
        <f>SUMIF('[1]Equipes-Pool'!$B$6:$B$35,C160,'[1]Equipes-Pool'!$D$6:$D$35)</f>
        <v>0</v>
      </c>
      <c r="P160" s="30">
        <f>SUMIF('[1]Equipes-Pool'!$B$6:$B$35,C160,'[1]Equipes-Pool'!$E$6:$E$35)</f>
        <v>0</v>
      </c>
      <c r="Q160" s="30">
        <f>SUMIF('[1]Equipes-Pool'!$B$6:$B$35,C160,'[1]Equipes-Pool'!$F$6:$F$35)</f>
        <v>0</v>
      </c>
      <c r="R160" s="91">
        <f>SUMIF('[1]Equipes-Pool'!$B$6:$B$35,C160,'[1]Equipes-Pool'!$G$6:$G$35)</f>
        <v>0</v>
      </c>
    </row>
    <row r="161" spans="1:18" ht="15.75">
      <c r="A161" s="12" t="s">
        <v>33</v>
      </c>
      <c r="B161" s="14" t="s">
        <v>109</v>
      </c>
      <c r="C161" s="55" t="s">
        <v>233</v>
      </c>
      <c r="D161" s="62" t="s">
        <v>386</v>
      </c>
      <c r="E161" s="10" t="s">
        <v>32</v>
      </c>
      <c r="F161" s="84">
        <f>SUMIF('[1]POOL-joueus'!$D$5:$D$808,C161,'[1]POOL-joueus'!$E$5:$E$808)</f>
        <v>65</v>
      </c>
      <c r="G161" s="84">
        <f>SUMIF('[1]POOL-joueus'!$D$5:$D$808,C161,'[1]POOL-joueus'!$F$5:F$808)</f>
        <v>4</v>
      </c>
      <c r="H161" s="84">
        <f>SUMIF('[1]POOL-joueus'!$D$5:$D$808,C161,'[1]POOL-joueus'!$G$5:G$808)</f>
        <v>23</v>
      </c>
      <c r="I161" s="90">
        <f t="shared" si="6"/>
        <v>27</v>
      </c>
      <c r="J161" s="85">
        <f t="shared" si="7"/>
        <v>0.4153846153846154</v>
      </c>
      <c r="K161" s="30">
        <f>SUMIF('[1]Pool-gardien'!$D$5:$D$127,C161,'[1]Pool-gardien'!$F$5:$F$127)</f>
        <v>0</v>
      </c>
      <c r="L161" s="30">
        <f>SUMIF('[1]Pool-gardien'!$D$5:$D$127,C161,'[1]Pool-gardien'!$G$5:$G$127)</f>
        <v>0</v>
      </c>
      <c r="M161" s="30">
        <f>SUMIF('[1]Pool-gardien'!$D$5:$D$127,C161,'[1]Pool-gardien'!$H$5:$H$127)</f>
        <v>0</v>
      </c>
      <c r="N161" s="91">
        <f>SUMIF('[1]Pool-gardien'!$D$5:$D$127,C161,'[1]Pool-gardien'!$K$5:$K$127)</f>
        <v>0</v>
      </c>
      <c r="O161" s="30">
        <f>SUMIF('[1]Equipes-Pool'!$B$6:$B$35,C161,'[1]Equipes-Pool'!$D$6:$D$35)</f>
        <v>0</v>
      </c>
      <c r="P161" s="30">
        <f>SUMIF('[1]Equipes-Pool'!$B$6:$B$35,C161,'[1]Equipes-Pool'!$E$6:$E$35)</f>
        <v>0</v>
      </c>
      <c r="Q161" s="30">
        <f>SUMIF('[1]Equipes-Pool'!$B$6:$B$35,C161,'[1]Equipes-Pool'!$F$6:$F$35)</f>
        <v>0</v>
      </c>
      <c r="R161" s="91">
        <f>SUMIF('[1]Equipes-Pool'!$B$6:$B$35,C161,'[1]Equipes-Pool'!$G$6:$G$35)</f>
        <v>0</v>
      </c>
    </row>
    <row r="162" spans="1:18" ht="15.75">
      <c r="A162" s="12" t="s">
        <v>33</v>
      </c>
      <c r="B162" s="14" t="s">
        <v>25</v>
      </c>
      <c r="C162" s="55" t="s">
        <v>235</v>
      </c>
      <c r="D162" s="62" t="s">
        <v>386</v>
      </c>
      <c r="E162" s="10" t="s">
        <v>39</v>
      </c>
      <c r="F162" s="84">
        <f>SUMIF('[1]POOL-joueus'!$D$5:$D$808,C162,'[1]POOL-joueus'!$E$5:$E$808)</f>
        <v>58</v>
      </c>
      <c r="G162" s="84">
        <f>SUMIF('[1]POOL-joueus'!$D$5:$D$808,C162,'[1]POOL-joueus'!$F$5:F$808)</f>
        <v>8</v>
      </c>
      <c r="H162" s="84">
        <f>SUMIF('[1]POOL-joueus'!$D$5:$D$808,C162,'[1]POOL-joueus'!$G$5:G$808)</f>
        <v>16</v>
      </c>
      <c r="I162" s="90">
        <f t="shared" si="6"/>
        <v>24</v>
      </c>
      <c r="J162" s="85">
        <f t="shared" si="7"/>
        <v>0.41379310344827586</v>
      </c>
      <c r="K162" s="30">
        <f>SUMIF('[1]Pool-gardien'!$D$5:$D$127,C162,'[1]Pool-gardien'!$F$5:$F$127)</f>
        <v>0</v>
      </c>
      <c r="L162" s="30">
        <f>SUMIF('[1]Pool-gardien'!$D$5:$D$127,C162,'[1]Pool-gardien'!$G$5:$G$127)</f>
        <v>0</v>
      </c>
      <c r="M162" s="30">
        <f>SUMIF('[1]Pool-gardien'!$D$5:$D$127,C162,'[1]Pool-gardien'!$H$5:$H$127)</f>
        <v>0</v>
      </c>
      <c r="N162" s="91">
        <f>SUMIF('[1]Pool-gardien'!$D$5:$D$127,C162,'[1]Pool-gardien'!$K$5:$K$127)</f>
        <v>0</v>
      </c>
      <c r="O162" s="30">
        <f>SUMIF('[1]Equipes-Pool'!$B$6:$B$35,C162,'[1]Equipes-Pool'!$D$6:$D$35)</f>
        <v>0</v>
      </c>
      <c r="P162" s="30">
        <f>SUMIF('[1]Equipes-Pool'!$B$6:$B$35,C162,'[1]Equipes-Pool'!$E$6:$E$35)</f>
        <v>0</v>
      </c>
      <c r="Q162" s="30">
        <f>SUMIF('[1]Equipes-Pool'!$B$6:$B$35,C162,'[1]Equipes-Pool'!$F$6:$F$35)</f>
        <v>0</v>
      </c>
      <c r="R162" s="91">
        <f>SUMIF('[1]Equipes-Pool'!$B$6:$B$35,C162,'[1]Equipes-Pool'!$G$6:$G$35)</f>
        <v>0</v>
      </c>
    </row>
    <row r="163" spans="1:18" ht="15.75">
      <c r="A163" s="12" t="s">
        <v>33</v>
      </c>
      <c r="B163" s="14" t="s">
        <v>20</v>
      </c>
      <c r="C163" s="55" t="s">
        <v>237</v>
      </c>
      <c r="D163" s="62" t="s">
        <v>386</v>
      </c>
      <c r="E163" s="10" t="s">
        <v>45</v>
      </c>
      <c r="F163" s="84">
        <f>SUMIF('[1]POOL-joueus'!$D$5:$D$808,C163,'[1]POOL-joueus'!$E$5:$E$808)</f>
        <v>41</v>
      </c>
      <c r="G163" s="84">
        <f>SUMIF('[1]POOL-joueus'!$D$5:$D$808,C163,'[1]POOL-joueus'!$F$5:F$808)</f>
        <v>3</v>
      </c>
      <c r="H163" s="84">
        <f>SUMIF('[1]POOL-joueus'!$D$5:$D$808,C163,'[1]POOL-joueus'!$G$5:G$808)</f>
        <v>8</v>
      </c>
      <c r="I163" s="90">
        <f t="shared" si="6"/>
        <v>11</v>
      </c>
      <c r="J163" s="85">
        <f t="shared" si="7"/>
        <v>0.2682926829268293</v>
      </c>
      <c r="K163" s="30">
        <f>SUMIF('[1]Pool-gardien'!$D$5:$D$127,C163,'[1]Pool-gardien'!$F$5:$F$127)</f>
        <v>0</v>
      </c>
      <c r="L163" s="30">
        <f>SUMIF('[1]Pool-gardien'!$D$5:$D$127,C163,'[1]Pool-gardien'!$G$5:$G$127)</f>
        <v>0</v>
      </c>
      <c r="M163" s="30">
        <f>SUMIF('[1]Pool-gardien'!$D$5:$D$127,C163,'[1]Pool-gardien'!$H$5:$H$127)</f>
        <v>0</v>
      </c>
      <c r="N163" s="91">
        <f>SUMIF('[1]Pool-gardien'!$D$5:$D$127,C163,'[1]Pool-gardien'!$K$5:$K$127)</f>
        <v>0</v>
      </c>
      <c r="O163" s="30">
        <f>SUMIF('[1]Equipes-Pool'!$B$6:$B$35,C163,'[1]Equipes-Pool'!$D$6:$D$35)</f>
        <v>0</v>
      </c>
      <c r="P163" s="30">
        <f>SUMIF('[1]Equipes-Pool'!$B$6:$B$35,C163,'[1]Equipes-Pool'!$E$6:$E$35)</f>
        <v>0</v>
      </c>
      <c r="Q163" s="30">
        <f>SUMIF('[1]Equipes-Pool'!$B$6:$B$35,C163,'[1]Equipes-Pool'!$F$6:$F$35)</f>
        <v>0</v>
      </c>
      <c r="R163" s="91">
        <f>SUMIF('[1]Equipes-Pool'!$B$6:$B$35,C163,'[1]Equipes-Pool'!$G$6:$G$35)</f>
        <v>0</v>
      </c>
    </row>
    <row r="164" spans="1:18" ht="15.75">
      <c r="A164" s="12" t="s">
        <v>12</v>
      </c>
      <c r="B164" s="14" t="s">
        <v>89</v>
      </c>
      <c r="C164" s="55" t="s">
        <v>239</v>
      </c>
      <c r="D164" s="62" t="s">
        <v>386</v>
      </c>
      <c r="E164" s="10" t="s">
        <v>52</v>
      </c>
      <c r="F164" s="84">
        <f>SUMIF('[1]POOL-joueus'!$D$5:$D$808,C164,'[1]POOL-joueus'!$E$5:$E$808)</f>
        <v>58</v>
      </c>
      <c r="G164" s="84">
        <f>SUMIF('[1]POOL-joueus'!$D$5:$D$808,C164,'[1]POOL-joueus'!$F$5:F$808)</f>
        <v>12</v>
      </c>
      <c r="H164" s="84">
        <f>SUMIF('[1]POOL-joueus'!$D$5:$D$808,C164,'[1]POOL-joueus'!$G$5:G$808)</f>
        <v>23</v>
      </c>
      <c r="I164" s="90">
        <f t="shared" si="6"/>
        <v>35</v>
      </c>
      <c r="J164" s="85">
        <f t="shared" si="7"/>
        <v>0.603448275862069</v>
      </c>
      <c r="K164" s="30">
        <f>SUMIF('[1]Pool-gardien'!$D$5:$D$127,C164,'[1]Pool-gardien'!$F$5:$F$127)</f>
        <v>0</v>
      </c>
      <c r="L164" s="30">
        <f>SUMIF('[1]Pool-gardien'!$D$5:$D$127,C164,'[1]Pool-gardien'!$G$5:$G$127)</f>
        <v>0</v>
      </c>
      <c r="M164" s="30">
        <f>SUMIF('[1]Pool-gardien'!$D$5:$D$127,C164,'[1]Pool-gardien'!$H$5:$H$127)</f>
        <v>0</v>
      </c>
      <c r="N164" s="91">
        <f>SUMIF('[1]Pool-gardien'!$D$5:$D$127,C164,'[1]Pool-gardien'!$K$5:$K$127)</f>
        <v>0</v>
      </c>
      <c r="O164" s="30">
        <f>SUMIF('[1]Equipes-Pool'!$B$6:$B$35,C164,'[1]Equipes-Pool'!$D$6:$D$35)</f>
        <v>0</v>
      </c>
      <c r="P164" s="30">
        <f>SUMIF('[1]Equipes-Pool'!$B$6:$B$35,C164,'[1]Equipes-Pool'!$E$6:$E$35)</f>
        <v>0</v>
      </c>
      <c r="Q164" s="30">
        <f>SUMIF('[1]Equipes-Pool'!$B$6:$B$35,C164,'[1]Equipes-Pool'!$F$6:$F$35)</f>
        <v>0</v>
      </c>
      <c r="R164" s="91">
        <f>SUMIF('[1]Equipes-Pool'!$B$6:$B$35,C164,'[1]Equipes-Pool'!$G$6:$G$35)</f>
        <v>0</v>
      </c>
    </row>
    <row r="165" spans="1:18" ht="15.75">
      <c r="A165" s="12" t="s">
        <v>33</v>
      </c>
      <c r="B165" s="14" t="s">
        <v>91</v>
      </c>
      <c r="C165" s="55" t="s">
        <v>241</v>
      </c>
      <c r="D165" s="62" t="s">
        <v>386</v>
      </c>
      <c r="E165" s="10" t="s">
        <v>27</v>
      </c>
      <c r="F165" s="84">
        <f>SUMIF('[1]POOL-joueus'!$D$5:$D$808,C165,'[1]POOL-joueus'!$E$5:$E$808)</f>
        <v>62</v>
      </c>
      <c r="G165" s="84">
        <f>SUMIF('[1]POOL-joueus'!$D$5:$D$808,C165,'[1]POOL-joueus'!$F$5:F$808)</f>
        <v>8</v>
      </c>
      <c r="H165" s="84">
        <f>SUMIF('[1]POOL-joueus'!$D$5:$D$808,C165,'[1]POOL-joueus'!$G$5:G$808)</f>
        <v>22</v>
      </c>
      <c r="I165" s="90">
        <f t="shared" si="6"/>
        <v>30</v>
      </c>
      <c r="J165" s="85">
        <f t="shared" si="7"/>
        <v>0.4838709677419355</v>
      </c>
      <c r="K165" s="30">
        <f>SUMIF('[1]Pool-gardien'!$D$5:$D$127,C165,'[1]Pool-gardien'!$F$5:$F$127)</f>
        <v>0</v>
      </c>
      <c r="L165" s="30">
        <f>SUMIF('[1]Pool-gardien'!$D$5:$D$127,C165,'[1]Pool-gardien'!$G$5:$G$127)</f>
        <v>0</v>
      </c>
      <c r="M165" s="30">
        <f>SUMIF('[1]Pool-gardien'!$D$5:$D$127,C165,'[1]Pool-gardien'!$H$5:$H$127)</f>
        <v>0</v>
      </c>
      <c r="N165" s="91">
        <f>SUMIF('[1]Pool-gardien'!$D$5:$D$127,C165,'[1]Pool-gardien'!$K$5:$K$127)</f>
        <v>0</v>
      </c>
      <c r="O165" s="30">
        <f>SUMIF('[1]Equipes-Pool'!$B$6:$B$35,C165,'[1]Equipes-Pool'!$D$6:$D$35)</f>
        <v>0</v>
      </c>
      <c r="P165" s="30">
        <f>SUMIF('[1]Equipes-Pool'!$B$6:$B$35,C165,'[1]Equipes-Pool'!$E$6:$E$35)</f>
        <v>0</v>
      </c>
      <c r="Q165" s="30">
        <f>SUMIF('[1]Equipes-Pool'!$B$6:$B$35,C165,'[1]Equipes-Pool'!$F$6:$F$35)</f>
        <v>0</v>
      </c>
      <c r="R165" s="91">
        <f>SUMIF('[1]Equipes-Pool'!$B$6:$B$35,C165,'[1]Equipes-Pool'!$G$6:$G$35)</f>
        <v>0</v>
      </c>
    </row>
    <row r="166" spans="1:18" ht="15.75">
      <c r="A166" s="20" t="s">
        <v>12</v>
      </c>
      <c r="B166" s="21" t="s">
        <v>105</v>
      </c>
      <c r="C166" s="55" t="s">
        <v>243</v>
      </c>
      <c r="D166" s="62" t="s">
        <v>386</v>
      </c>
      <c r="E166" s="10" t="s">
        <v>62</v>
      </c>
      <c r="F166" s="84">
        <f>SUMIF('[1]POOL-joueus'!$D$5:$D$808,C166,'[1]POOL-joueus'!$E$5:$E$808)</f>
        <v>64</v>
      </c>
      <c r="G166" s="84">
        <f>SUMIF('[1]POOL-joueus'!$D$5:$D$808,C166,'[1]POOL-joueus'!$F$5:F$808)</f>
        <v>19</v>
      </c>
      <c r="H166" s="84">
        <f>SUMIF('[1]POOL-joueus'!$D$5:$D$808,C166,'[1]POOL-joueus'!$G$5:G$808)</f>
        <v>25</v>
      </c>
      <c r="I166" s="90">
        <f t="shared" si="6"/>
        <v>44</v>
      </c>
      <c r="J166" s="85">
        <f t="shared" si="7"/>
        <v>0.6875</v>
      </c>
      <c r="K166" s="30">
        <f>SUMIF('[1]Pool-gardien'!$D$5:$D$127,C166,'[1]Pool-gardien'!$F$5:$F$127)</f>
        <v>0</v>
      </c>
      <c r="L166" s="30">
        <f>SUMIF('[1]Pool-gardien'!$D$5:$D$127,C166,'[1]Pool-gardien'!$G$5:$G$127)</f>
        <v>0</v>
      </c>
      <c r="M166" s="30">
        <f>SUMIF('[1]Pool-gardien'!$D$5:$D$127,C166,'[1]Pool-gardien'!$H$5:$H$127)</f>
        <v>0</v>
      </c>
      <c r="N166" s="91">
        <f>SUMIF('[1]Pool-gardien'!$D$5:$D$127,C166,'[1]Pool-gardien'!$K$5:$K$127)</f>
        <v>0</v>
      </c>
      <c r="O166" s="30">
        <f>SUMIF('[1]Equipes-Pool'!$B$6:$B$35,C166,'[1]Equipes-Pool'!$D$6:$D$35)</f>
        <v>0</v>
      </c>
      <c r="P166" s="30">
        <f>SUMIF('[1]Equipes-Pool'!$B$6:$B$35,C166,'[1]Equipes-Pool'!$E$6:$E$35)</f>
        <v>0</v>
      </c>
      <c r="Q166" s="30">
        <f>SUMIF('[1]Equipes-Pool'!$B$6:$B$35,C166,'[1]Equipes-Pool'!$F$6:$F$35)</f>
        <v>0</v>
      </c>
      <c r="R166" s="91">
        <f>SUMIF('[1]Equipes-Pool'!$B$6:$B$35,C166,'[1]Equipes-Pool'!$G$6:$G$35)</f>
        <v>0</v>
      </c>
    </row>
    <row r="167" spans="1:18" ht="16.5" thickBot="1">
      <c r="A167" s="49" t="s">
        <v>33</v>
      </c>
      <c r="B167" s="50" t="s">
        <v>50</v>
      </c>
      <c r="C167" s="66" t="s">
        <v>245</v>
      </c>
      <c r="D167" s="64" t="s">
        <v>386</v>
      </c>
      <c r="E167" s="59" t="s">
        <v>65</v>
      </c>
      <c r="F167" s="84">
        <f>SUMIF('[1]POOL-joueus'!$D$5:$D$808,C167,'[1]POOL-joueus'!$E$5:$E$808)</f>
        <v>54</v>
      </c>
      <c r="G167" s="84">
        <f>SUMIF('[1]POOL-joueus'!$D$5:$D$808,C167,'[1]POOL-joueus'!$F$5:F$808)</f>
        <v>4</v>
      </c>
      <c r="H167" s="84">
        <f>SUMIF('[1]POOL-joueus'!$D$5:$D$808,C167,'[1]POOL-joueus'!$G$5:G$808)</f>
        <v>22</v>
      </c>
      <c r="I167" s="90">
        <f t="shared" si="6"/>
        <v>26</v>
      </c>
      <c r="J167" s="85">
        <f t="shared" si="7"/>
        <v>0.48148148148148145</v>
      </c>
      <c r="K167" s="30">
        <f>SUMIF('[1]Pool-gardien'!$D$5:$D$127,C167,'[1]Pool-gardien'!$F$5:$F$127)</f>
        <v>0</v>
      </c>
      <c r="L167" s="30">
        <f>SUMIF('[1]Pool-gardien'!$D$5:$D$127,C167,'[1]Pool-gardien'!$G$5:$G$127)</f>
        <v>0</v>
      </c>
      <c r="M167" s="30">
        <f>SUMIF('[1]Pool-gardien'!$D$5:$D$127,C167,'[1]Pool-gardien'!$H$5:$H$127)</f>
        <v>0</v>
      </c>
      <c r="N167" s="91">
        <f>SUMIF('[1]Pool-gardien'!$D$5:$D$127,C167,'[1]Pool-gardien'!$K$5:$K$127)</f>
        <v>0</v>
      </c>
      <c r="O167" s="30">
        <f>SUMIF('[1]Equipes-Pool'!$B$6:$B$35,C167,'[1]Equipes-Pool'!$D$6:$D$35)</f>
        <v>0</v>
      </c>
      <c r="P167" s="30">
        <f>SUMIF('[1]Equipes-Pool'!$B$6:$B$35,C167,'[1]Equipes-Pool'!$E$6:$E$35)</f>
        <v>0</v>
      </c>
      <c r="Q167" s="30">
        <f>SUMIF('[1]Equipes-Pool'!$B$6:$B$35,C167,'[1]Equipes-Pool'!$F$6:$F$35)</f>
        <v>0</v>
      </c>
      <c r="R167" s="91">
        <f>SUMIF('[1]Equipes-Pool'!$B$6:$B$35,C167,'[1]Equipes-Pool'!$G$6:$G$35)</f>
        <v>0</v>
      </c>
    </row>
    <row r="168" spans="1:18" ht="15.75">
      <c r="A168" s="20" t="s">
        <v>33</v>
      </c>
      <c r="B168" s="21" t="s">
        <v>20</v>
      </c>
      <c r="C168" s="67" t="s">
        <v>248</v>
      </c>
      <c r="D168" s="63" t="s">
        <v>387</v>
      </c>
      <c r="E168" s="65" t="s">
        <v>8</v>
      </c>
      <c r="F168" s="84">
        <f>SUMIF('[1]POOL-joueus'!$D$5:$D$808,C168,'[1]POOL-joueus'!$E$5:$E$808)</f>
        <v>22</v>
      </c>
      <c r="G168" s="84">
        <f>SUMIF('[1]POOL-joueus'!$D$5:$D$808,C168,'[1]POOL-joueus'!$F$5:F$808)</f>
        <v>3</v>
      </c>
      <c r="H168" s="84">
        <f>SUMIF('[1]POOL-joueus'!$D$5:$D$808,C168,'[1]POOL-joueus'!$G$5:G$808)</f>
        <v>4</v>
      </c>
      <c r="I168" s="90">
        <f t="shared" si="6"/>
        <v>7</v>
      </c>
      <c r="J168" s="85">
        <f t="shared" si="7"/>
        <v>0.3181818181818182</v>
      </c>
      <c r="K168" s="30">
        <f>SUMIF('[1]Pool-gardien'!$D$5:$D$127,C168,'[1]Pool-gardien'!$F$5:$F$127)</f>
        <v>0</v>
      </c>
      <c r="L168" s="30">
        <f>SUMIF('[1]Pool-gardien'!$D$5:$D$127,C168,'[1]Pool-gardien'!$G$5:$G$127)</f>
        <v>0</v>
      </c>
      <c r="M168" s="30">
        <f>SUMIF('[1]Pool-gardien'!$D$5:$D$127,C168,'[1]Pool-gardien'!$H$5:$H$127)</f>
        <v>0</v>
      </c>
      <c r="N168" s="91">
        <f>SUMIF('[1]Pool-gardien'!$D$5:$D$127,C168,'[1]Pool-gardien'!$K$5:$K$127)</f>
        <v>0</v>
      </c>
      <c r="O168" s="30">
        <f>SUMIF('[1]Equipes-Pool'!$B$6:$B$35,C168,'[1]Equipes-Pool'!$D$6:$D$35)</f>
        <v>0</v>
      </c>
      <c r="P168" s="30">
        <f>SUMIF('[1]Equipes-Pool'!$B$6:$B$35,C168,'[1]Equipes-Pool'!$E$6:$E$35)</f>
        <v>0</v>
      </c>
      <c r="Q168" s="30">
        <f>SUMIF('[1]Equipes-Pool'!$B$6:$B$35,C168,'[1]Equipes-Pool'!$F$6:$F$35)</f>
        <v>0</v>
      </c>
      <c r="R168" s="91">
        <f>SUMIF('[1]Equipes-Pool'!$B$6:$B$35,C168,'[1]Equipes-Pool'!$G$6:$G$35)</f>
        <v>0</v>
      </c>
    </row>
    <row r="169" spans="1:18" ht="15.75">
      <c r="A169" s="12" t="s">
        <v>33</v>
      </c>
      <c r="B169" s="14" t="s">
        <v>97</v>
      </c>
      <c r="C169" s="55" t="s">
        <v>250</v>
      </c>
      <c r="D169" s="62" t="s">
        <v>387</v>
      </c>
      <c r="E169" s="10" t="s">
        <v>16</v>
      </c>
      <c r="F169" s="84">
        <f>SUMIF('[1]POOL-joueus'!$D$5:$D$808,C169,'[1]POOL-joueus'!$E$5:$E$808)</f>
        <v>64</v>
      </c>
      <c r="G169" s="84">
        <f>SUMIF('[1]POOL-joueus'!$D$5:$D$808,C169,'[1]POOL-joueus'!$F$5:F$808)</f>
        <v>1</v>
      </c>
      <c r="H169" s="84">
        <f>SUMIF('[1]POOL-joueus'!$D$5:$D$808,C169,'[1]POOL-joueus'!$G$5:G$808)</f>
        <v>18</v>
      </c>
      <c r="I169" s="90">
        <f t="shared" si="6"/>
        <v>19</v>
      </c>
      <c r="J169" s="85">
        <f t="shared" si="7"/>
        <v>0.296875</v>
      </c>
      <c r="K169" s="30">
        <f>SUMIF('[1]Pool-gardien'!$D$5:$D$127,C169,'[1]Pool-gardien'!$F$5:$F$127)</f>
        <v>0</v>
      </c>
      <c r="L169" s="30">
        <f>SUMIF('[1]Pool-gardien'!$D$5:$D$127,C169,'[1]Pool-gardien'!$G$5:$G$127)</f>
        <v>0</v>
      </c>
      <c r="M169" s="30">
        <f>SUMIF('[1]Pool-gardien'!$D$5:$D$127,C169,'[1]Pool-gardien'!$H$5:$H$127)</f>
        <v>0</v>
      </c>
      <c r="N169" s="91">
        <f>SUMIF('[1]Pool-gardien'!$D$5:$D$127,C169,'[1]Pool-gardien'!$K$5:$K$127)</f>
        <v>0</v>
      </c>
      <c r="O169" s="30">
        <f>SUMIF('[1]Equipes-Pool'!$B$6:$B$35,C169,'[1]Equipes-Pool'!$D$6:$D$35)</f>
        <v>0</v>
      </c>
      <c r="P169" s="30">
        <f>SUMIF('[1]Equipes-Pool'!$B$6:$B$35,C169,'[1]Equipes-Pool'!$E$6:$E$35)</f>
        <v>0</v>
      </c>
      <c r="Q169" s="30">
        <f>SUMIF('[1]Equipes-Pool'!$B$6:$B$35,C169,'[1]Equipes-Pool'!$F$6:$F$35)</f>
        <v>0</v>
      </c>
      <c r="R169" s="91">
        <f>SUMIF('[1]Equipes-Pool'!$B$6:$B$35,C169,'[1]Equipes-Pool'!$G$6:$G$35)</f>
        <v>0</v>
      </c>
    </row>
    <row r="170" spans="1:18" ht="15.75">
      <c r="A170" s="12" t="s">
        <v>12</v>
      </c>
      <c r="B170" s="14" t="s">
        <v>36</v>
      </c>
      <c r="C170" s="55" t="s">
        <v>252</v>
      </c>
      <c r="D170" s="62" t="s">
        <v>387</v>
      </c>
      <c r="E170" s="10" t="s">
        <v>23</v>
      </c>
      <c r="F170" s="84">
        <f>SUMIF('[1]POOL-joueus'!$D$5:$D$808,C170,'[1]POOL-joueus'!$E$5:$E$808)</f>
        <v>56</v>
      </c>
      <c r="G170" s="84">
        <f>SUMIF('[1]POOL-joueus'!$D$5:$D$808,C170,'[1]POOL-joueus'!$F$5:F$808)</f>
        <v>24</v>
      </c>
      <c r="H170" s="84">
        <f>SUMIF('[1]POOL-joueus'!$D$5:$D$808,C170,'[1]POOL-joueus'!$G$5:G$808)</f>
        <v>18</v>
      </c>
      <c r="I170" s="90">
        <f t="shared" si="6"/>
        <v>42</v>
      </c>
      <c r="J170" s="85">
        <f t="shared" si="7"/>
        <v>0.75</v>
      </c>
      <c r="K170" s="30">
        <f>SUMIF('[1]Pool-gardien'!$D$5:$D$127,C170,'[1]Pool-gardien'!$F$5:$F$127)</f>
        <v>0</v>
      </c>
      <c r="L170" s="30">
        <f>SUMIF('[1]Pool-gardien'!$D$5:$D$127,C170,'[1]Pool-gardien'!$G$5:$G$127)</f>
        <v>0</v>
      </c>
      <c r="M170" s="30">
        <f>SUMIF('[1]Pool-gardien'!$D$5:$D$127,C170,'[1]Pool-gardien'!$H$5:$H$127)</f>
        <v>0</v>
      </c>
      <c r="N170" s="91">
        <f>SUMIF('[1]Pool-gardien'!$D$5:$D$127,C170,'[1]Pool-gardien'!$K$5:$K$127)</f>
        <v>0</v>
      </c>
      <c r="O170" s="30">
        <f>SUMIF('[1]Equipes-Pool'!$B$6:$B$35,C170,'[1]Equipes-Pool'!$D$6:$D$35)</f>
        <v>0</v>
      </c>
      <c r="P170" s="30">
        <f>SUMIF('[1]Equipes-Pool'!$B$6:$B$35,C170,'[1]Equipes-Pool'!$E$6:$E$35)</f>
        <v>0</v>
      </c>
      <c r="Q170" s="30">
        <f>SUMIF('[1]Equipes-Pool'!$B$6:$B$35,C170,'[1]Equipes-Pool'!$F$6:$F$35)</f>
        <v>0</v>
      </c>
      <c r="R170" s="91">
        <f>SUMIF('[1]Equipes-Pool'!$B$6:$B$35,C170,'[1]Equipes-Pool'!$G$6:$G$35)</f>
        <v>0</v>
      </c>
    </row>
    <row r="171" spans="1:18" ht="15.75">
      <c r="A171" s="12" t="s">
        <v>12</v>
      </c>
      <c r="B171" s="14" t="s">
        <v>84</v>
      </c>
      <c r="C171" s="55" t="s">
        <v>254</v>
      </c>
      <c r="D171" s="62" t="s">
        <v>387</v>
      </c>
      <c r="E171" s="10" t="s">
        <v>32</v>
      </c>
      <c r="F171" s="84">
        <f>SUMIF('[1]POOL-joueus'!$D$5:$D$808,C171,'[1]POOL-joueus'!$E$5:$E$808)</f>
        <v>58</v>
      </c>
      <c r="G171" s="84">
        <f>SUMIF('[1]POOL-joueus'!$D$5:$D$808,C171,'[1]POOL-joueus'!$F$5:F$808)</f>
        <v>14</v>
      </c>
      <c r="H171" s="84">
        <f>SUMIF('[1]POOL-joueus'!$D$5:$D$808,C171,'[1]POOL-joueus'!$G$5:G$808)</f>
        <v>17</v>
      </c>
      <c r="I171" s="90">
        <f t="shared" si="6"/>
        <v>31</v>
      </c>
      <c r="J171" s="85">
        <f t="shared" si="7"/>
        <v>0.5344827586206896</v>
      </c>
      <c r="K171" s="30">
        <f>SUMIF('[1]Pool-gardien'!$D$5:$D$127,C171,'[1]Pool-gardien'!$F$5:$F$127)</f>
        <v>0</v>
      </c>
      <c r="L171" s="30">
        <f>SUMIF('[1]Pool-gardien'!$D$5:$D$127,C171,'[1]Pool-gardien'!$G$5:$G$127)</f>
        <v>0</v>
      </c>
      <c r="M171" s="30">
        <f>SUMIF('[1]Pool-gardien'!$D$5:$D$127,C171,'[1]Pool-gardien'!$H$5:$H$127)</f>
        <v>0</v>
      </c>
      <c r="N171" s="91">
        <f>SUMIF('[1]Pool-gardien'!$D$5:$D$127,C171,'[1]Pool-gardien'!$K$5:$K$127)</f>
        <v>0</v>
      </c>
      <c r="O171" s="30">
        <f>SUMIF('[1]Equipes-Pool'!$B$6:$B$35,C171,'[1]Equipes-Pool'!$D$6:$D$35)</f>
        <v>0</v>
      </c>
      <c r="P171" s="30">
        <f>SUMIF('[1]Equipes-Pool'!$B$6:$B$35,C171,'[1]Equipes-Pool'!$E$6:$E$35)</f>
        <v>0</v>
      </c>
      <c r="Q171" s="30">
        <f>SUMIF('[1]Equipes-Pool'!$B$6:$B$35,C171,'[1]Equipes-Pool'!$F$6:$F$35)</f>
        <v>0</v>
      </c>
      <c r="R171" s="91">
        <f>SUMIF('[1]Equipes-Pool'!$B$6:$B$35,C171,'[1]Equipes-Pool'!$G$6:$G$35)</f>
        <v>0</v>
      </c>
    </row>
    <row r="172" spans="1:18" ht="15.75">
      <c r="A172" s="12" t="s">
        <v>33</v>
      </c>
      <c r="B172" s="14" t="s">
        <v>84</v>
      </c>
      <c r="C172" s="55" t="s">
        <v>256</v>
      </c>
      <c r="D172" s="62" t="s">
        <v>387</v>
      </c>
      <c r="E172" s="10" t="s">
        <v>39</v>
      </c>
      <c r="F172" s="84">
        <f>SUMIF('[1]POOL-joueus'!$D$5:$D$808,C172,'[1]POOL-joueus'!$E$5:$E$808)</f>
        <v>66</v>
      </c>
      <c r="G172" s="84">
        <f>SUMIF('[1]POOL-joueus'!$D$5:$D$808,C172,'[1]POOL-joueus'!$F$5:F$808)</f>
        <v>2</v>
      </c>
      <c r="H172" s="84">
        <f>SUMIF('[1]POOL-joueus'!$D$5:$D$808,C172,'[1]POOL-joueus'!$G$5:G$808)</f>
        <v>10</v>
      </c>
      <c r="I172" s="90">
        <f t="shared" si="6"/>
        <v>12</v>
      </c>
      <c r="J172" s="85">
        <f t="shared" si="7"/>
        <v>0.18181818181818182</v>
      </c>
      <c r="K172" s="30">
        <f>SUMIF('[1]Pool-gardien'!$D$5:$D$127,C172,'[1]Pool-gardien'!$F$5:$F$127)</f>
        <v>0</v>
      </c>
      <c r="L172" s="30">
        <f>SUMIF('[1]Pool-gardien'!$D$5:$D$127,C172,'[1]Pool-gardien'!$G$5:$G$127)</f>
        <v>0</v>
      </c>
      <c r="M172" s="30">
        <f>SUMIF('[1]Pool-gardien'!$D$5:$D$127,C172,'[1]Pool-gardien'!$H$5:$H$127)</f>
        <v>0</v>
      </c>
      <c r="N172" s="91">
        <f>SUMIF('[1]Pool-gardien'!$D$5:$D$127,C172,'[1]Pool-gardien'!$K$5:$K$127)</f>
        <v>0</v>
      </c>
      <c r="O172" s="30">
        <f>SUMIF('[1]Equipes-Pool'!$B$6:$B$35,C172,'[1]Equipes-Pool'!$D$6:$D$35)</f>
        <v>0</v>
      </c>
      <c r="P172" s="30">
        <f>SUMIF('[1]Equipes-Pool'!$B$6:$B$35,C172,'[1]Equipes-Pool'!$E$6:$E$35)</f>
        <v>0</v>
      </c>
      <c r="Q172" s="30">
        <f>SUMIF('[1]Equipes-Pool'!$B$6:$B$35,C172,'[1]Equipes-Pool'!$F$6:$F$35)</f>
        <v>0</v>
      </c>
      <c r="R172" s="91">
        <f>SUMIF('[1]Equipes-Pool'!$B$6:$B$35,C172,'[1]Equipes-Pool'!$G$6:$G$35)</f>
        <v>0</v>
      </c>
    </row>
    <row r="173" spans="1:18" ht="15.75">
      <c r="A173" s="12" t="s">
        <v>19</v>
      </c>
      <c r="B173" s="14" t="s">
        <v>41</v>
      </c>
      <c r="C173" s="55" t="s">
        <v>258</v>
      </c>
      <c r="D173" s="62" t="s">
        <v>387</v>
      </c>
      <c r="E173" s="10" t="s">
        <v>45</v>
      </c>
      <c r="F173" s="30">
        <f>SUMIF('[1]POOL-joueus'!$D$5:$D$808,C173,'[1]POOL-joueus'!$E$5:$E$808)</f>
        <v>7</v>
      </c>
      <c r="G173" s="30">
        <f>SUMIF('[1]POOL-joueus'!$D$5:$D$808,C173,'[1]POOL-joueus'!$F$5:F$808)</f>
        <v>0</v>
      </c>
      <c r="H173" s="30">
        <f>SUMIF('[1]POOL-joueus'!$D$5:$D$808,C173,'[1]POOL-joueus'!$G$5:G$808)</f>
        <v>4</v>
      </c>
      <c r="I173" s="91">
        <f t="shared" si="6"/>
        <v>4</v>
      </c>
      <c r="J173" s="81">
        <f t="shared" si="7"/>
        <v>0.5714285714285714</v>
      </c>
      <c r="K173" s="30">
        <f>SUMIF('[1]Pool-gardien'!$D$5:$D$127,C173,'[1]Pool-gardien'!$F$5:$F$127)</f>
        <v>0</v>
      </c>
      <c r="L173" s="30">
        <f>SUMIF('[1]Pool-gardien'!$D$5:$D$127,C173,'[1]Pool-gardien'!$G$5:$G$127)</f>
        <v>0</v>
      </c>
      <c r="M173" s="30">
        <f>SUMIF('[1]Pool-gardien'!$D$5:$D$127,C173,'[1]Pool-gardien'!$H$5:$H$127)</f>
        <v>0</v>
      </c>
      <c r="N173" s="91">
        <f>SUMIF('[1]Pool-gardien'!$D$5:$D$127,C173,'[1]Pool-gardien'!$K$5:$K$127)</f>
        <v>0</v>
      </c>
      <c r="O173" s="30">
        <f>SUMIF('[1]Equipes-Pool'!$B$6:$B$35,C173,'[1]Equipes-Pool'!$D$6:$D$35)</f>
        <v>0</v>
      </c>
      <c r="P173" s="30">
        <f>SUMIF('[1]Equipes-Pool'!$B$6:$B$35,C173,'[1]Equipes-Pool'!$E$6:$E$35)</f>
        <v>0</v>
      </c>
      <c r="Q173" s="30">
        <f>SUMIF('[1]Equipes-Pool'!$B$6:$B$35,C173,'[1]Equipes-Pool'!$F$6:$F$35)</f>
        <v>0</v>
      </c>
      <c r="R173" s="91">
        <f>SUMIF('[1]Equipes-Pool'!$B$6:$B$35,C173,'[1]Equipes-Pool'!$G$6:$G$35)</f>
        <v>0</v>
      </c>
    </row>
    <row r="174" spans="1:18" ht="15.75">
      <c r="A174" s="12" t="s">
        <v>33</v>
      </c>
      <c r="B174" s="14" t="s">
        <v>41</v>
      </c>
      <c r="C174" s="55" t="s">
        <v>260</v>
      </c>
      <c r="D174" s="62" t="s">
        <v>387</v>
      </c>
      <c r="E174" s="10" t="s">
        <v>52</v>
      </c>
      <c r="F174" s="84">
        <f>SUMIF('[1]POOL-joueus'!$D$5:$D$808,C174,'[1]POOL-joueus'!$E$5:$E$808)</f>
        <v>0</v>
      </c>
      <c r="G174" s="84">
        <f>SUMIF('[1]POOL-joueus'!$D$5:$D$808,C174,'[1]POOL-joueus'!$F$5:F$808)</f>
        <v>0</v>
      </c>
      <c r="H174" s="84">
        <f>SUMIF('[1]POOL-joueus'!$D$5:$D$808,C174,'[1]POOL-joueus'!$G$5:G$808)</f>
        <v>0</v>
      </c>
      <c r="I174" s="90">
        <f t="shared" si="6"/>
        <v>0</v>
      </c>
      <c r="J174" s="85" t="e">
        <f t="shared" si="7"/>
        <v>#DIV/0!</v>
      </c>
      <c r="K174" s="30">
        <f>SUMIF('[1]Pool-gardien'!$D$5:$D$127,C174,'[1]Pool-gardien'!$F$5:$F$127)</f>
        <v>0</v>
      </c>
      <c r="L174" s="30">
        <f>SUMIF('[1]Pool-gardien'!$D$5:$D$127,C174,'[1]Pool-gardien'!$G$5:$G$127)</f>
        <v>0</v>
      </c>
      <c r="M174" s="30">
        <f>SUMIF('[1]Pool-gardien'!$D$5:$D$127,C174,'[1]Pool-gardien'!$H$5:$H$127)</f>
        <v>0</v>
      </c>
      <c r="N174" s="91">
        <f>SUMIF('[1]Pool-gardien'!$D$5:$D$127,C174,'[1]Pool-gardien'!$K$5:$K$127)</f>
        <v>0</v>
      </c>
      <c r="O174" s="30">
        <f>SUMIF('[1]Equipes-Pool'!$B$6:$B$35,C174,'[1]Equipes-Pool'!$D$6:$D$35)</f>
        <v>0</v>
      </c>
      <c r="P174" s="30">
        <f>SUMIF('[1]Equipes-Pool'!$B$6:$B$35,C174,'[1]Equipes-Pool'!$E$6:$E$35)</f>
        <v>0</v>
      </c>
      <c r="Q174" s="30">
        <f>SUMIF('[1]Equipes-Pool'!$B$6:$B$35,C174,'[1]Equipes-Pool'!$F$6:$F$35)</f>
        <v>0</v>
      </c>
      <c r="R174" s="91">
        <f>SUMIF('[1]Equipes-Pool'!$B$6:$B$35,C174,'[1]Equipes-Pool'!$G$6:$G$35)</f>
        <v>0</v>
      </c>
    </row>
    <row r="175" spans="1:18" ht="15.75">
      <c r="A175" s="12" t="s">
        <v>19</v>
      </c>
      <c r="B175" s="14" t="s">
        <v>154</v>
      </c>
      <c r="C175" s="55" t="s">
        <v>262</v>
      </c>
      <c r="D175" s="62" t="s">
        <v>387</v>
      </c>
      <c r="E175" s="10" t="s">
        <v>27</v>
      </c>
      <c r="F175" s="30">
        <f>SUMIF('[1]POOL-joueus'!$D$5:$D$808,C175,'[1]POOL-joueus'!$E$5:$E$808)</f>
        <v>36</v>
      </c>
      <c r="G175" s="30">
        <f>SUMIF('[1]POOL-joueus'!$D$5:$D$808,C175,'[1]POOL-joueus'!$F$5:F$808)</f>
        <v>2</v>
      </c>
      <c r="H175" s="30">
        <f>SUMIF('[1]POOL-joueus'!$D$5:$D$808,C175,'[1]POOL-joueus'!$G$5:G$808)</f>
        <v>9</v>
      </c>
      <c r="I175" s="91">
        <f t="shared" si="6"/>
        <v>11</v>
      </c>
      <c r="J175" s="81">
        <f t="shared" si="7"/>
        <v>0.3055555555555556</v>
      </c>
      <c r="K175" s="30">
        <f>SUMIF('[1]Pool-gardien'!$D$5:$D$127,C175,'[1]Pool-gardien'!$F$5:$F$127)</f>
        <v>0</v>
      </c>
      <c r="L175" s="30">
        <f>SUMIF('[1]Pool-gardien'!$D$5:$D$127,C175,'[1]Pool-gardien'!$G$5:$G$127)</f>
        <v>0</v>
      </c>
      <c r="M175" s="30">
        <f>SUMIF('[1]Pool-gardien'!$D$5:$D$127,C175,'[1]Pool-gardien'!$H$5:$H$127)</f>
        <v>0</v>
      </c>
      <c r="N175" s="91">
        <f>SUMIF('[1]Pool-gardien'!$D$5:$D$127,C175,'[1]Pool-gardien'!$K$5:$K$127)</f>
        <v>0</v>
      </c>
      <c r="O175" s="30">
        <f>SUMIF('[1]Equipes-Pool'!$B$6:$B$35,C175,'[1]Equipes-Pool'!$D$6:$D$35)</f>
        <v>0</v>
      </c>
      <c r="P175" s="30">
        <f>SUMIF('[1]Equipes-Pool'!$B$6:$B$35,C175,'[1]Equipes-Pool'!$E$6:$E$35)</f>
        <v>0</v>
      </c>
      <c r="Q175" s="30">
        <f>SUMIF('[1]Equipes-Pool'!$B$6:$B$35,C175,'[1]Equipes-Pool'!$F$6:$F$35)</f>
        <v>0</v>
      </c>
      <c r="R175" s="91">
        <f>SUMIF('[1]Equipes-Pool'!$B$6:$B$35,C175,'[1]Equipes-Pool'!$G$6:$G$35)</f>
        <v>0</v>
      </c>
    </row>
    <row r="176" spans="1:18" ht="15.75">
      <c r="A176" s="12" t="s">
        <v>33</v>
      </c>
      <c r="B176" s="14" t="s">
        <v>57</v>
      </c>
      <c r="C176" s="55" t="s">
        <v>264</v>
      </c>
      <c r="D176" s="62" t="s">
        <v>387</v>
      </c>
      <c r="E176" s="10" t="s">
        <v>62</v>
      </c>
      <c r="F176" s="84">
        <f>SUMIF('[1]POOL-joueus'!$D$5:$D$808,C176,'[1]POOL-joueus'!$E$5:$E$808)</f>
        <v>28</v>
      </c>
      <c r="G176" s="84">
        <f>SUMIF('[1]POOL-joueus'!$D$5:$D$808,C176,'[1]POOL-joueus'!$F$5:F$808)</f>
        <v>1</v>
      </c>
      <c r="H176" s="84">
        <f>SUMIF('[1]POOL-joueus'!$D$5:$D$808,C176,'[1]POOL-joueus'!$G$5:G$808)</f>
        <v>5</v>
      </c>
      <c r="I176" s="90">
        <f t="shared" si="6"/>
        <v>6</v>
      </c>
      <c r="J176" s="85">
        <f t="shared" si="7"/>
        <v>0.21428571428571427</v>
      </c>
      <c r="K176" s="30">
        <f>SUMIF('[1]Pool-gardien'!$D$5:$D$127,C176,'[1]Pool-gardien'!$F$5:$F$127)</f>
        <v>0</v>
      </c>
      <c r="L176" s="30">
        <f>SUMIF('[1]Pool-gardien'!$D$5:$D$127,C176,'[1]Pool-gardien'!$G$5:$G$127)</f>
        <v>0</v>
      </c>
      <c r="M176" s="30">
        <f>SUMIF('[1]Pool-gardien'!$D$5:$D$127,C176,'[1]Pool-gardien'!$H$5:$H$127)</f>
        <v>0</v>
      </c>
      <c r="N176" s="91">
        <f>SUMIF('[1]Pool-gardien'!$D$5:$D$127,C176,'[1]Pool-gardien'!$K$5:$K$127)</f>
        <v>0</v>
      </c>
      <c r="O176" s="30">
        <f>SUMIF('[1]Equipes-Pool'!$B$6:$B$35,C176,'[1]Equipes-Pool'!$D$6:$D$35)</f>
        <v>0</v>
      </c>
      <c r="P176" s="30">
        <f>SUMIF('[1]Equipes-Pool'!$B$6:$B$35,C176,'[1]Equipes-Pool'!$E$6:$E$35)</f>
        <v>0</v>
      </c>
      <c r="Q176" s="30">
        <f>SUMIF('[1]Equipes-Pool'!$B$6:$B$35,C176,'[1]Equipes-Pool'!$F$6:$F$35)</f>
        <v>0</v>
      </c>
      <c r="R176" s="91">
        <f>SUMIF('[1]Equipes-Pool'!$B$6:$B$35,C176,'[1]Equipes-Pool'!$G$6:$G$35)</f>
        <v>0</v>
      </c>
    </row>
    <row r="177" spans="1:18" ht="16.5" thickBot="1">
      <c r="A177" s="49" t="s">
        <v>12</v>
      </c>
      <c r="B177" s="50" t="s">
        <v>111</v>
      </c>
      <c r="C177" s="66" t="s">
        <v>266</v>
      </c>
      <c r="D177" s="64" t="s">
        <v>387</v>
      </c>
      <c r="E177" s="59" t="s">
        <v>65</v>
      </c>
      <c r="F177" s="84">
        <f>SUMIF('[1]POOL-joueus'!$D$5:$D$808,C177,'[1]POOL-joueus'!$E$5:$E$808)</f>
        <v>51</v>
      </c>
      <c r="G177" s="84">
        <f>SUMIF('[1]POOL-joueus'!$D$5:$D$808,C177,'[1]POOL-joueus'!$F$5:F$808)</f>
        <v>7</v>
      </c>
      <c r="H177" s="84">
        <f>SUMIF('[1]POOL-joueus'!$D$5:$D$808,C177,'[1]POOL-joueus'!$G$5:G$808)</f>
        <v>14</v>
      </c>
      <c r="I177" s="90">
        <f t="shared" si="6"/>
        <v>21</v>
      </c>
      <c r="J177" s="85">
        <f t="shared" si="7"/>
        <v>0.4117647058823529</v>
      </c>
      <c r="K177" s="30">
        <f>SUMIF('[1]Pool-gardien'!$D$5:$D$127,C177,'[1]Pool-gardien'!$F$5:$F$127)</f>
        <v>0</v>
      </c>
      <c r="L177" s="30">
        <f>SUMIF('[1]Pool-gardien'!$D$5:$D$127,C177,'[1]Pool-gardien'!$G$5:$G$127)</f>
        <v>0</v>
      </c>
      <c r="M177" s="30">
        <f>SUMIF('[1]Pool-gardien'!$D$5:$D$127,C177,'[1]Pool-gardien'!$H$5:$H$127)</f>
        <v>0</v>
      </c>
      <c r="N177" s="91">
        <f>SUMIF('[1]Pool-gardien'!$D$5:$D$127,C177,'[1]Pool-gardien'!$K$5:$K$127)</f>
        <v>0</v>
      </c>
      <c r="O177" s="30">
        <f>SUMIF('[1]Equipes-Pool'!$B$6:$B$35,C177,'[1]Equipes-Pool'!$D$6:$D$35)</f>
        <v>0</v>
      </c>
      <c r="P177" s="30">
        <f>SUMIF('[1]Equipes-Pool'!$B$6:$B$35,C177,'[1]Equipes-Pool'!$E$6:$E$35)</f>
        <v>0</v>
      </c>
      <c r="Q177" s="30">
        <f>SUMIF('[1]Equipes-Pool'!$B$6:$B$35,C177,'[1]Equipes-Pool'!$F$6:$F$35)</f>
        <v>0</v>
      </c>
      <c r="R177" s="91">
        <f>SUMIF('[1]Equipes-Pool'!$B$6:$B$35,C177,'[1]Equipes-Pool'!$G$6:$G$35)</f>
        <v>0</v>
      </c>
    </row>
    <row r="178" spans="1:18" ht="15.75">
      <c r="A178" s="17" t="s">
        <v>28</v>
      </c>
      <c r="B178" s="17" t="s">
        <v>89</v>
      </c>
      <c r="C178" s="69" t="s">
        <v>249</v>
      </c>
      <c r="D178" s="63" t="s">
        <v>388</v>
      </c>
      <c r="E178" s="65" t="s">
        <v>8</v>
      </c>
      <c r="F178" s="82">
        <f>SUMIF('[1]Pool-gardien'!$D$5:$D$127,C178,'[1]Pool-gardien'!$E$5:$E$127)</f>
        <v>34</v>
      </c>
      <c r="G178" s="82">
        <f>SUMIF('[1]Pool-gardien'!$D$5:$D$127,C178,'[1]Pool-gardien'!$I$5:$I$127)</f>
        <v>0</v>
      </c>
      <c r="H178" s="82">
        <f>SUMIF('[1]Pool-gardien'!$D$5:$D$127,C178,'[1]Pool-gardien'!$J$5:$J$127)</f>
        <v>0</v>
      </c>
      <c r="I178" s="92">
        <f t="shared" si="6"/>
        <v>0</v>
      </c>
      <c r="J178" s="81">
        <f t="shared" si="7"/>
        <v>0</v>
      </c>
      <c r="K178" s="82">
        <f>SUMIF('[1]Pool-gardien'!$D$5:$D$127,C178,'[1]Pool-gardien'!$F$5:$F$127)</f>
        <v>23</v>
      </c>
      <c r="L178" s="82">
        <f>SUMIF('[1]Pool-gardien'!$D$5:$D$127,C178,'[1]Pool-gardien'!$G$5:$G$127)</f>
        <v>1</v>
      </c>
      <c r="M178" s="82">
        <f>SUMIF('[1]Pool-gardien'!$D$5:$D$127,C178,'[1]Pool-gardien'!$H$5:$H$127)</f>
        <v>6</v>
      </c>
      <c r="N178" s="92">
        <f>SUMIF('[1]Pool-gardien'!$D$5:$D$127,C178,'[1]Pool-gardien'!$K$5:$K$127)</f>
        <v>71</v>
      </c>
      <c r="O178" s="30">
        <f>SUMIF('[1]Equipes-Pool'!$B$6:$B$35,C178,'[1]Equipes-Pool'!$D$6:$D$35)</f>
        <v>0</v>
      </c>
      <c r="P178" s="30">
        <f>SUMIF('[1]Equipes-Pool'!$B$6:$B$35,C178,'[1]Equipes-Pool'!$E$6:$E$35)</f>
        <v>0</v>
      </c>
      <c r="Q178" s="30">
        <f>SUMIF('[1]Equipes-Pool'!$B$6:$B$35,C178,'[1]Equipes-Pool'!$F$6:$F$35)</f>
        <v>0</v>
      </c>
      <c r="R178" s="91">
        <f>SUMIF('[1]Equipes-Pool'!$B$6:$B$35,C178,'[1]Equipes-Pool'!$G$6:$G$35)</f>
        <v>0</v>
      </c>
    </row>
    <row r="179" spans="1:18" ht="15.75">
      <c r="A179" s="20" t="s">
        <v>12</v>
      </c>
      <c r="B179" s="21" t="s">
        <v>120</v>
      </c>
      <c r="C179" s="55" t="s">
        <v>251</v>
      </c>
      <c r="D179" s="62" t="s">
        <v>388</v>
      </c>
      <c r="E179" s="10" t="s">
        <v>16</v>
      </c>
      <c r="F179" s="84">
        <f>SUMIF('[1]POOL-joueus'!$D$5:$D$808,C179,'[1]POOL-joueus'!$E$5:$E$808)</f>
        <v>58</v>
      </c>
      <c r="G179" s="84">
        <f>SUMIF('[1]POOL-joueus'!$D$5:$D$808,C179,'[1]POOL-joueus'!$F$5:F$808)</f>
        <v>13</v>
      </c>
      <c r="H179" s="84">
        <f>SUMIF('[1]POOL-joueus'!$D$5:$D$808,C179,'[1]POOL-joueus'!$G$5:G$808)</f>
        <v>19</v>
      </c>
      <c r="I179" s="90">
        <f t="shared" si="6"/>
        <v>32</v>
      </c>
      <c r="J179" s="85">
        <f t="shared" si="7"/>
        <v>0.5517241379310345</v>
      </c>
      <c r="K179" s="30">
        <f>SUMIF('[1]Pool-gardien'!$D$5:$D$127,C179,'[1]Pool-gardien'!$F$5:$F$127)</f>
        <v>0</v>
      </c>
      <c r="L179" s="30">
        <f>SUMIF('[1]Pool-gardien'!$D$5:$D$127,C179,'[1]Pool-gardien'!$G$5:$G$127)</f>
        <v>0</v>
      </c>
      <c r="M179" s="30">
        <f>SUMIF('[1]Pool-gardien'!$D$5:$D$127,C179,'[1]Pool-gardien'!$H$5:$H$127)</f>
        <v>0</v>
      </c>
      <c r="N179" s="91">
        <f>SUMIF('[1]Pool-gardien'!$D$5:$D$127,C179,'[1]Pool-gardien'!$K$5:$K$127)</f>
        <v>0</v>
      </c>
      <c r="O179" s="30">
        <f>SUMIF('[1]Equipes-Pool'!$B$6:$B$35,C179,'[1]Equipes-Pool'!$D$6:$D$35)</f>
        <v>0</v>
      </c>
      <c r="P179" s="30">
        <f>SUMIF('[1]Equipes-Pool'!$B$6:$B$35,C179,'[1]Equipes-Pool'!$E$6:$E$35)</f>
        <v>0</v>
      </c>
      <c r="Q179" s="30">
        <f>SUMIF('[1]Equipes-Pool'!$B$6:$B$35,C179,'[1]Equipes-Pool'!$F$6:$F$35)</f>
        <v>0</v>
      </c>
      <c r="R179" s="91">
        <f>SUMIF('[1]Equipes-Pool'!$B$6:$B$35,C179,'[1]Equipes-Pool'!$G$6:$G$35)</f>
        <v>0</v>
      </c>
    </row>
    <row r="180" spans="1:18" ht="15.75">
      <c r="A180" s="12" t="s">
        <v>40</v>
      </c>
      <c r="B180" s="14" t="s">
        <v>41</v>
      </c>
      <c r="C180" s="55" t="s">
        <v>253</v>
      </c>
      <c r="D180" s="62" t="s">
        <v>388</v>
      </c>
      <c r="E180" s="10" t="s">
        <v>23</v>
      </c>
      <c r="F180" s="84">
        <f>SUMIF('[1]POOL-joueus'!$D$5:$D$808,C180,'[1]POOL-joueus'!$E$5:$E$808)</f>
        <v>40</v>
      </c>
      <c r="G180" s="84">
        <f>SUMIF('[1]POOL-joueus'!$D$5:$D$808,C180,'[1]POOL-joueus'!$F$5:F$808)</f>
        <v>7</v>
      </c>
      <c r="H180" s="84">
        <f>SUMIF('[1]POOL-joueus'!$D$5:$D$808,C180,'[1]POOL-joueus'!$G$5:G$808)</f>
        <v>20</v>
      </c>
      <c r="I180" s="90">
        <f t="shared" si="6"/>
        <v>27</v>
      </c>
      <c r="J180" s="85">
        <f t="shared" si="7"/>
        <v>0.675</v>
      </c>
      <c r="K180" s="30">
        <f>SUMIF('[1]Pool-gardien'!$D$5:$D$127,C180,'[1]Pool-gardien'!$F$5:$F$127)</f>
        <v>0</v>
      </c>
      <c r="L180" s="30">
        <f>SUMIF('[1]Pool-gardien'!$D$5:$D$127,C180,'[1]Pool-gardien'!$G$5:$G$127)</f>
        <v>0</v>
      </c>
      <c r="M180" s="30">
        <f>SUMIF('[1]Pool-gardien'!$D$5:$D$127,C180,'[1]Pool-gardien'!$H$5:$H$127)</f>
        <v>0</v>
      </c>
      <c r="N180" s="91">
        <f>SUMIF('[1]Pool-gardien'!$D$5:$D$127,C180,'[1]Pool-gardien'!$K$5:$K$127)</f>
        <v>0</v>
      </c>
      <c r="O180" s="30">
        <f>SUMIF('[1]Equipes-Pool'!$B$6:$B$35,C180,'[1]Equipes-Pool'!$D$6:$D$35)</f>
        <v>0</v>
      </c>
      <c r="P180" s="30">
        <f>SUMIF('[1]Equipes-Pool'!$B$6:$B$35,C180,'[1]Equipes-Pool'!$E$6:$E$35)</f>
        <v>0</v>
      </c>
      <c r="Q180" s="30">
        <f>SUMIF('[1]Equipes-Pool'!$B$6:$B$35,C180,'[1]Equipes-Pool'!$F$6:$F$35)</f>
        <v>0</v>
      </c>
      <c r="R180" s="91">
        <f>SUMIF('[1]Equipes-Pool'!$B$6:$B$35,C180,'[1]Equipes-Pool'!$G$6:$G$35)</f>
        <v>0</v>
      </c>
    </row>
    <row r="181" spans="1:18" ht="15.75">
      <c r="A181" s="12" t="s">
        <v>12</v>
      </c>
      <c r="B181" s="14" t="s">
        <v>89</v>
      </c>
      <c r="C181" s="55" t="s">
        <v>255</v>
      </c>
      <c r="D181" s="62" t="s">
        <v>388</v>
      </c>
      <c r="E181" s="10" t="s">
        <v>32</v>
      </c>
      <c r="F181" s="84">
        <f>SUMIF('[1]POOL-joueus'!$D$5:$D$808,C181,'[1]POOL-joueus'!$E$5:$E$808)</f>
        <v>65</v>
      </c>
      <c r="G181" s="84">
        <f>SUMIF('[1]POOL-joueus'!$D$5:$D$808,C181,'[1]POOL-joueus'!$F$5:F$808)</f>
        <v>16</v>
      </c>
      <c r="H181" s="84">
        <f>SUMIF('[1]POOL-joueus'!$D$5:$D$808,C181,'[1]POOL-joueus'!$G$5:G$808)</f>
        <v>20</v>
      </c>
      <c r="I181" s="90">
        <f t="shared" si="6"/>
        <v>36</v>
      </c>
      <c r="J181" s="85">
        <f t="shared" si="7"/>
        <v>0.5538461538461539</v>
      </c>
      <c r="K181" s="30">
        <f>SUMIF('[1]Pool-gardien'!$D$5:$D$127,C181,'[1]Pool-gardien'!$F$5:$F$127)</f>
        <v>0</v>
      </c>
      <c r="L181" s="30">
        <f>SUMIF('[1]Pool-gardien'!$D$5:$D$127,C181,'[1]Pool-gardien'!$G$5:$G$127)</f>
        <v>0</v>
      </c>
      <c r="M181" s="30">
        <f>SUMIF('[1]Pool-gardien'!$D$5:$D$127,C181,'[1]Pool-gardien'!$H$5:$H$127)</f>
        <v>0</v>
      </c>
      <c r="N181" s="91">
        <f>SUMIF('[1]Pool-gardien'!$D$5:$D$127,C181,'[1]Pool-gardien'!$K$5:$K$127)</f>
        <v>0</v>
      </c>
      <c r="O181" s="30">
        <f>SUMIF('[1]Equipes-Pool'!$B$6:$B$35,C181,'[1]Equipes-Pool'!$D$6:$D$35)</f>
        <v>0</v>
      </c>
      <c r="P181" s="30">
        <f>SUMIF('[1]Equipes-Pool'!$B$6:$B$35,C181,'[1]Equipes-Pool'!$E$6:$E$35)</f>
        <v>0</v>
      </c>
      <c r="Q181" s="30">
        <f>SUMIF('[1]Equipes-Pool'!$B$6:$B$35,C181,'[1]Equipes-Pool'!$F$6:$F$35)</f>
        <v>0</v>
      </c>
      <c r="R181" s="91">
        <f>SUMIF('[1]Equipes-Pool'!$B$6:$B$35,C181,'[1]Equipes-Pool'!$G$6:$G$35)</f>
        <v>0</v>
      </c>
    </row>
    <row r="182" spans="1:18" ht="15.75">
      <c r="A182" s="20" t="s">
        <v>12</v>
      </c>
      <c r="B182" s="21" t="s">
        <v>105</v>
      </c>
      <c r="C182" s="55" t="s">
        <v>257</v>
      </c>
      <c r="D182" s="62" t="s">
        <v>388</v>
      </c>
      <c r="E182" s="10" t="s">
        <v>39</v>
      </c>
      <c r="F182" s="84">
        <f>SUMIF('[1]POOL-joueus'!$D$5:$D$808,C182,'[1]POOL-joueus'!$E$5:$E$808)</f>
        <v>0</v>
      </c>
      <c r="G182" s="84">
        <f>SUMIF('[1]POOL-joueus'!$D$5:$D$808,C182,'[1]POOL-joueus'!$F$5:F$808)</f>
        <v>0</v>
      </c>
      <c r="H182" s="84">
        <f>SUMIF('[1]POOL-joueus'!$D$5:$D$808,C182,'[1]POOL-joueus'!$G$5:G$808)</f>
        <v>0</v>
      </c>
      <c r="I182" s="90">
        <f t="shared" si="6"/>
        <v>0</v>
      </c>
      <c r="J182" s="85" t="e">
        <f t="shared" si="7"/>
        <v>#DIV/0!</v>
      </c>
      <c r="K182" s="30">
        <f>SUMIF('[1]Pool-gardien'!$D$5:$D$127,C182,'[1]Pool-gardien'!$F$5:$F$127)</f>
        <v>0</v>
      </c>
      <c r="L182" s="30">
        <f>SUMIF('[1]Pool-gardien'!$D$5:$D$127,C182,'[1]Pool-gardien'!$G$5:$G$127)</f>
        <v>0</v>
      </c>
      <c r="M182" s="30">
        <f>SUMIF('[1]Pool-gardien'!$D$5:$D$127,C182,'[1]Pool-gardien'!$H$5:$H$127)</f>
        <v>0</v>
      </c>
      <c r="N182" s="91">
        <f>SUMIF('[1]Pool-gardien'!$D$5:$D$127,C182,'[1]Pool-gardien'!$K$5:$K$127)</f>
        <v>0</v>
      </c>
      <c r="O182" s="30">
        <f>SUMIF('[1]Equipes-Pool'!$B$6:$B$35,C182,'[1]Equipes-Pool'!$D$6:$D$35)</f>
        <v>0</v>
      </c>
      <c r="P182" s="30">
        <f>SUMIF('[1]Equipes-Pool'!$B$6:$B$35,C182,'[1]Equipes-Pool'!$E$6:$E$35)</f>
        <v>0</v>
      </c>
      <c r="Q182" s="30">
        <f>SUMIF('[1]Equipes-Pool'!$B$6:$B$35,C182,'[1]Equipes-Pool'!$F$6:$F$35)</f>
        <v>0</v>
      </c>
      <c r="R182" s="91">
        <f>SUMIF('[1]Equipes-Pool'!$B$6:$B$35,C182,'[1]Equipes-Pool'!$G$6:$G$35)</f>
        <v>0</v>
      </c>
    </row>
    <row r="183" spans="1:18" ht="15.75">
      <c r="A183" s="17" t="s">
        <v>28</v>
      </c>
      <c r="B183" s="18" t="s">
        <v>103</v>
      </c>
      <c r="C183" s="68" t="s">
        <v>259</v>
      </c>
      <c r="D183" s="62" t="s">
        <v>388</v>
      </c>
      <c r="E183" s="10" t="s">
        <v>45</v>
      </c>
      <c r="F183" s="82">
        <f>SUMIF('[1]Pool-gardien'!$D$5:$D$127,C183,'[1]Pool-gardien'!$E$5:$E$127)</f>
        <v>43</v>
      </c>
      <c r="G183" s="82">
        <f>SUMIF('[1]Pool-gardien'!$D$5:$D$127,C183,'[1]Pool-gardien'!$I$5:$I$127)</f>
        <v>0</v>
      </c>
      <c r="H183" s="82">
        <f>SUMIF('[1]Pool-gardien'!$D$5:$D$127,C183,'[1]Pool-gardien'!$J$5:$J$127)</f>
        <v>1</v>
      </c>
      <c r="I183" s="92">
        <f t="shared" si="6"/>
        <v>1</v>
      </c>
      <c r="J183" s="81">
        <f t="shared" si="7"/>
        <v>0.023255813953488372</v>
      </c>
      <c r="K183" s="82">
        <f>SUMIF('[1]Pool-gardien'!$D$5:$D$127,C183,'[1]Pool-gardien'!$F$5:$F$127)</f>
        <v>28</v>
      </c>
      <c r="L183" s="82">
        <f>SUMIF('[1]Pool-gardien'!$D$5:$D$127,C183,'[1]Pool-gardien'!$G$5:$G$127)</f>
        <v>6</v>
      </c>
      <c r="M183" s="82">
        <f>SUMIF('[1]Pool-gardien'!$D$5:$D$127,C183,'[1]Pool-gardien'!$H$5:$H$127)</f>
        <v>4</v>
      </c>
      <c r="N183" s="92">
        <f>SUMIF('[1]Pool-gardien'!$D$5:$D$127,C183,'[1]Pool-gardien'!$K$5:$K$127)</f>
        <v>79</v>
      </c>
      <c r="O183" s="30">
        <f>SUMIF('[1]Equipes-Pool'!$B$6:$B$35,C183,'[1]Equipes-Pool'!$D$6:$D$35)</f>
        <v>0</v>
      </c>
      <c r="P183" s="30">
        <f>SUMIF('[1]Equipes-Pool'!$B$6:$B$35,C183,'[1]Equipes-Pool'!$E$6:$E$35)</f>
        <v>0</v>
      </c>
      <c r="Q183" s="30">
        <f>SUMIF('[1]Equipes-Pool'!$B$6:$B$35,C183,'[1]Equipes-Pool'!$F$6:$F$35)</f>
        <v>0</v>
      </c>
      <c r="R183" s="91">
        <f>SUMIF('[1]Equipes-Pool'!$B$6:$B$35,C183,'[1]Equipes-Pool'!$G$6:$G$35)</f>
        <v>0</v>
      </c>
    </row>
    <row r="184" spans="1:18" ht="15.75">
      <c r="A184" s="12" t="s">
        <v>19</v>
      </c>
      <c r="B184" s="14" t="s">
        <v>89</v>
      </c>
      <c r="C184" s="55" t="s">
        <v>261</v>
      </c>
      <c r="D184" s="62" t="s">
        <v>388</v>
      </c>
      <c r="E184" s="10" t="s">
        <v>52</v>
      </c>
      <c r="F184" s="30">
        <f>SUMIF('[1]POOL-joueus'!$D$5:$D$808,C184,'[1]POOL-joueus'!$E$5:$E$808)</f>
        <v>0</v>
      </c>
      <c r="G184" s="30">
        <f>SUMIF('[1]POOL-joueus'!$D$5:$D$808,C184,'[1]POOL-joueus'!$F$5:F$808)</f>
        <v>0</v>
      </c>
      <c r="H184" s="30">
        <f>SUMIF('[1]POOL-joueus'!$D$5:$D$808,C184,'[1]POOL-joueus'!$G$5:G$808)</f>
        <v>0</v>
      </c>
      <c r="I184" s="91">
        <f t="shared" si="6"/>
        <v>0</v>
      </c>
      <c r="J184" s="81" t="e">
        <f t="shared" si="7"/>
        <v>#DIV/0!</v>
      </c>
      <c r="K184" s="30">
        <f>SUMIF('[1]Pool-gardien'!$D$5:$D$127,C184,'[1]Pool-gardien'!$F$5:$F$127)</f>
        <v>0</v>
      </c>
      <c r="L184" s="30">
        <f>SUMIF('[1]Pool-gardien'!$D$5:$D$127,C184,'[1]Pool-gardien'!$G$5:$G$127)</f>
        <v>0</v>
      </c>
      <c r="M184" s="30">
        <f>SUMIF('[1]Pool-gardien'!$D$5:$D$127,C184,'[1]Pool-gardien'!$H$5:$H$127)</f>
        <v>0</v>
      </c>
      <c r="N184" s="91">
        <f>SUMIF('[1]Pool-gardien'!$D$5:$D$127,C184,'[1]Pool-gardien'!$K$5:$K$127)</f>
        <v>0</v>
      </c>
      <c r="O184" s="30">
        <f>SUMIF('[1]Equipes-Pool'!$B$6:$B$35,C184,'[1]Equipes-Pool'!$D$6:$D$35)</f>
        <v>0</v>
      </c>
      <c r="P184" s="30">
        <f>SUMIF('[1]Equipes-Pool'!$B$6:$B$35,C184,'[1]Equipes-Pool'!$E$6:$E$35)</f>
        <v>0</v>
      </c>
      <c r="Q184" s="30">
        <f>SUMIF('[1]Equipes-Pool'!$B$6:$B$35,C184,'[1]Equipes-Pool'!$F$6:$F$35)</f>
        <v>0</v>
      </c>
      <c r="R184" s="91">
        <f>SUMIF('[1]Equipes-Pool'!$B$6:$B$35,C184,'[1]Equipes-Pool'!$G$6:$G$35)</f>
        <v>0</v>
      </c>
    </row>
    <row r="185" spans="1:18" ht="15.75">
      <c r="A185" s="12" t="s">
        <v>33</v>
      </c>
      <c r="B185" s="14" t="s">
        <v>55</v>
      </c>
      <c r="C185" s="55" t="s">
        <v>263</v>
      </c>
      <c r="D185" s="62" t="s">
        <v>388</v>
      </c>
      <c r="E185" s="10" t="s">
        <v>27</v>
      </c>
      <c r="F185" s="84">
        <f>SUMIF('[1]POOL-joueus'!$D$5:$D$808,C185,'[1]POOL-joueus'!$E$5:$E$808)</f>
        <v>5</v>
      </c>
      <c r="G185" s="84">
        <f>SUMIF('[1]POOL-joueus'!$D$5:$D$808,C185,'[1]POOL-joueus'!$F$5:F$808)</f>
        <v>0</v>
      </c>
      <c r="H185" s="84">
        <f>SUMIF('[1]POOL-joueus'!$D$5:$D$808,C185,'[1]POOL-joueus'!$G$5:G$808)</f>
        <v>1</v>
      </c>
      <c r="I185" s="90">
        <f t="shared" si="6"/>
        <v>1</v>
      </c>
      <c r="J185" s="85">
        <f t="shared" si="7"/>
        <v>0.2</v>
      </c>
      <c r="K185" s="30">
        <f>SUMIF('[1]Pool-gardien'!$D$5:$D$127,C185,'[1]Pool-gardien'!$F$5:$F$127)</f>
        <v>0</v>
      </c>
      <c r="L185" s="30">
        <f>SUMIF('[1]Pool-gardien'!$D$5:$D$127,C185,'[1]Pool-gardien'!$G$5:$G$127)</f>
        <v>0</v>
      </c>
      <c r="M185" s="30">
        <f>SUMIF('[1]Pool-gardien'!$D$5:$D$127,C185,'[1]Pool-gardien'!$H$5:$H$127)</f>
        <v>0</v>
      </c>
      <c r="N185" s="91">
        <f>SUMIF('[1]Pool-gardien'!$D$5:$D$127,C185,'[1]Pool-gardien'!$K$5:$K$127)</f>
        <v>0</v>
      </c>
      <c r="O185" s="30">
        <f>SUMIF('[1]Equipes-Pool'!$B$6:$B$35,C185,'[1]Equipes-Pool'!$D$6:$D$35)</f>
        <v>0</v>
      </c>
      <c r="P185" s="30">
        <f>SUMIF('[1]Equipes-Pool'!$B$6:$B$35,C185,'[1]Equipes-Pool'!$E$6:$E$35)</f>
        <v>0</v>
      </c>
      <c r="Q185" s="30">
        <f>SUMIF('[1]Equipes-Pool'!$B$6:$B$35,C185,'[1]Equipes-Pool'!$F$6:$F$35)</f>
        <v>0</v>
      </c>
      <c r="R185" s="91">
        <f>SUMIF('[1]Equipes-Pool'!$B$6:$B$35,C185,'[1]Equipes-Pool'!$G$6:$G$35)</f>
        <v>0</v>
      </c>
    </row>
    <row r="186" spans="1:18" ht="15.75">
      <c r="A186" s="12" t="s">
        <v>24</v>
      </c>
      <c r="B186" s="14" t="s">
        <v>78</v>
      </c>
      <c r="C186" s="55" t="s">
        <v>265</v>
      </c>
      <c r="D186" s="62" t="s">
        <v>388</v>
      </c>
      <c r="E186" s="10" t="s">
        <v>62</v>
      </c>
      <c r="F186" s="30">
        <f>SUMIF('[1]POOL-joueus'!$D$5:$D$808,C186,'[1]POOL-joueus'!$E$5:$E$808)</f>
        <v>6</v>
      </c>
      <c r="G186" s="30">
        <f>SUMIF('[1]POOL-joueus'!$D$5:$D$808,C186,'[1]POOL-joueus'!$F$5:F$808)</f>
        <v>1</v>
      </c>
      <c r="H186" s="30">
        <f>SUMIF('[1]POOL-joueus'!$D$5:$D$808,C186,'[1]POOL-joueus'!$G$5:G$808)</f>
        <v>0</v>
      </c>
      <c r="I186" s="91">
        <f t="shared" si="6"/>
        <v>1</v>
      </c>
      <c r="J186" s="81">
        <f t="shared" si="7"/>
        <v>0.16666666666666666</v>
      </c>
      <c r="K186" s="30">
        <f>SUMIF('[1]Pool-gardien'!$D$5:$D$127,C186,'[1]Pool-gardien'!$F$5:$F$127)</f>
        <v>0</v>
      </c>
      <c r="L186" s="30">
        <f>SUMIF('[1]Pool-gardien'!$D$5:$D$127,C186,'[1]Pool-gardien'!$G$5:$G$127)</f>
        <v>0</v>
      </c>
      <c r="M186" s="30">
        <f>SUMIF('[1]Pool-gardien'!$D$5:$D$127,C186,'[1]Pool-gardien'!$H$5:$H$127)</f>
        <v>0</v>
      </c>
      <c r="N186" s="91">
        <f>SUMIF('[1]Pool-gardien'!$D$5:$D$127,C186,'[1]Pool-gardien'!$K$5:$K$127)</f>
        <v>0</v>
      </c>
      <c r="O186" s="30">
        <f>SUMIF('[1]Equipes-Pool'!$B$6:$B$35,C186,'[1]Equipes-Pool'!$D$6:$D$35)</f>
        <v>0</v>
      </c>
      <c r="P186" s="30">
        <f>SUMIF('[1]Equipes-Pool'!$B$6:$B$35,C186,'[1]Equipes-Pool'!$E$6:$E$35)</f>
        <v>0</v>
      </c>
      <c r="Q186" s="30">
        <f>SUMIF('[1]Equipes-Pool'!$B$6:$B$35,C186,'[1]Equipes-Pool'!$F$6:$F$35)</f>
        <v>0</v>
      </c>
      <c r="R186" s="91">
        <f>SUMIF('[1]Equipes-Pool'!$B$6:$B$35,C186,'[1]Equipes-Pool'!$G$6:$G$35)</f>
        <v>0</v>
      </c>
    </row>
    <row r="187" spans="1:18" ht="16.5" thickBot="1">
      <c r="A187" s="49" t="s">
        <v>12</v>
      </c>
      <c r="B187" s="50" t="s">
        <v>84</v>
      </c>
      <c r="C187" s="66" t="s">
        <v>267</v>
      </c>
      <c r="D187" s="64" t="s">
        <v>388</v>
      </c>
      <c r="E187" s="59" t="s">
        <v>65</v>
      </c>
      <c r="F187" s="84">
        <f>SUMIF('[1]POOL-joueus'!$D$5:$D$808,C187,'[1]POOL-joueus'!$E$5:$E$808)</f>
        <v>20</v>
      </c>
      <c r="G187" s="84">
        <f>SUMIF('[1]POOL-joueus'!$D$5:$D$808,C187,'[1]POOL-joueus'!$F$5:F$808)</f>
        <v>4</v>
      </c>
      <c r="H187" s="84">
        <f>SUMIF('[1]POOL-joueus'!$D$5:$D$808,C187,'[1]POOL-joueus'!$G$5:G$808)</f>
        <v>3</v>
      </c>
      <c r="I187" s="90">
        <f t="shared" si="6"/>
        <v>7</v>
      </c>
      <c r="J187" s="85">
        <f t="shared" si="7"/>
        <v>0.35</v>
      </c>
      <c r="K187" s="30">
        <f>SUMIF('[1]Pool-gardien'!$D$5:$D$127,C187,'[1]Pool-gardien'!$F$5:$F$127)</f>
        <v>0</v>
      </c>
      <c r="L187" s="30">
        <f>SUMIF('[1]Pool-gardien'!$D$5:$D$127,C187,'[1]Pool-gardien'!$G$5:$G$127)</f>
        <v>0</v>
      </c>
      <c r="M187" s="30">
        <f>SUMIF('[1]Pool-gardien'!$D$5:$D$127,C187,'[1]Pool-gardien'!$H$5:$H$127)</f>
        <v>0</v>
      </c>
      <c r="N187" s="91">
        <f>SUMIF('[1]Pool-gardien'!$D$5:$D$127,C187,'[1]Pool-gardien'!$K$5:$K$127)</f>
        <v>0</v>
      </c>
      <c r="O187" s="30">
        <f>SUMIF('[1]Equipes-Pool'!$B$6:$B$35,C187,'[1]Equipes-Pool'!$D$6:$D$35)</f>
        <v>0</v>
      </c>
      <c r="P187" s="30">
        <f>SUMIF('[1]Equipes-Pool'!$B$6:$B$35,C187,'[1]Equipes-Pool'!$E$6:$E$35)</f>
        <v>0</v>
      </c>
      <c r="Q187" s="30">
        <f>SUMIF('[1]Equipes-Pool'!$B$6:$B$35,C187,'[1]Equipes-Pool'!$F$6:$F$35)</f>
        <v>0</v>
      </c>
      <c r="R187" s="91">
        <f>SUMIF('[1]Equipes-Pool'!$B$6:$B$35,C187,'[1]Equipes-Pool'!$G$6:$G$35)</f>
        <v>0</v>
      </c>
    </row>
    <row r="188" spans="1:18" ht="15.75">
      <c r="A188" s="20" t="s">
        <v>12</v>
      </c>
      <c r="B188" s="21" t="s">
        <v>34</v>
      </c>
      <c r="C188" s="67" t="s">
        <v>270</v>
      </c>
      <c r="D188" s="63" t="s">
        <v>389</v>
      </c>
      <c r="E188" s="65" t="s">
        <v>8</v>
      </c>
      <c r="F188" s="84">
        <f>SUMIF('[1]POOL-joueus'!$D$5:$D$808,C188,'[1]POOL-joueus'!$E$5:$E$808)</f>
        <v>3</v>
      </c>
      <c r="G188" s="84">
        <f>SUMIF('[1]POOL-joueus'!$D$5:$D$808,C188,'[1]POOL-joueus'!$F$5:F$808)</f>
        <v>0</v>
      </c>
      <c r="H188" s="84">
        <f>SUMIF('[1]POOL-joueus'!$D$5:$D$808,C188,'[1]POOL-joueus'!$G$5:G$808)</f>
        <v>0</v>
      </c>
      <c r="I188" s="90">
        <f t="shared" si="6"/>
        <v>0</v>
      </c>
      <c r="J188" s="85">
        <f t="shared" si="7"/>
        <v>0</v>
      </c>
      <c r="K188" s="30">
        <f>SUMIF('[1]Pool-gardien'!$D$5:$D$127,C188,'[1]Pool-gardien'!$F$5:$F$127)</f>
        <v>0</v>
      </c>
      <c r="L188" s="30">
        <f>SUMIF('[1]Pool-gardien'!$D$5:$D$127,C188,'[1]Pool-gardien'!$G$5:$G$127)</f>
        <v>0</v>
      </c>
      <c r="M188" s="30">
        <f>SUMIF('[1]Pool-gardien'!$D$5:$D$127,C188,'[1]Pool-gardien'!$H$5:$H$127)</f>
        <v>0</v>
      </c>
      <c r="N188" s="91">
        <f>SUMIF('[1]Pool-gardien'!$D$5:$D$127,C188,'[1]Pool-gardien'!$K$5:$K$127)</f>
        <v>0</v>
      </c>
      <c r="O188" s="30">
        <f>SUMIF('[1]Equipes-Pool'!$B$6:$B$35,C188,'[1]Equipes-Pool'!$D$6:$D$35)</f>
        <v>0</v>
      </c>
      <c r="P188" s="30">
        <f>SUMIF('[1]Equipes-Pool'!$B$6:$B$35,C188,'[1]Equipes-Pool'!$E$6:$E$35)</f>
        <v>0</v>
      </c>
      <c r="Q188" s="30">
        <f>SUMIF('[1]Equipes-Pool'!$B$6:$B$35,C188,'[1]Equipes-Pool'!$F$6:$F$35)</f>
        <v>0</v>
      </c>
      <c r="R188" s="91">
        <f>SUMIF('[1]Equipes-Pool'!$B$6:$B$35,C188,'[1]Equipes-Pool'!$G$6:$G$35)</f>
        <v>0</v>
      </c>
    </row>
    <row r="189" spans="1:18" ht="15.75">
      <c r="A189" s="12" t="s">
        <v>33</v>
      </c>
      <c r="B189" s="14" t="s">
        <v>91</v>
      </c>
      <c r="C189" s="55" t="s">
        <v>272</v>
      </c>
      <c r="D189" s="62" t="s">
        <v>389</v>
      </c>
      <c r="E189" s="10" t="s">
        <v>16</v>
      </c>
      <c r="F189" s="84">
        <f>SUMIF('[1]POOL-joueus'!$D$5:$D$808,C189,'[1]POOL-joueus'!$E$5:$E$808)</f>
        <v>64</v>
      </c>
      <c r="G189" s="84">
        <f>SUMIF('[1]POOL-joueus'!$D$5:$D$808,C189,'[1]POOL-joueus'!$F$5:F$808)</f>
        <v>4</v>
      </c>
      <c r="H189" s="84">
        <f>SUMIF('[1]POOL-joueus'!$D$5:$D$808,C189,'[1]POOL-joueus'!$G$5:G$808)</f>
        <v>17</v>
      </c>
      <c r="I189" s="90">
        <f t="shared" si="6"/>
        <v>21</v>
      </c>
      <c r="J189" s="85">
        <f t="shared" si="7"/>
        <v>0.328125</v>
      </c>
      <c r="K189" s="30">
        <f>SUMIF('[1]Pool-gardien'!$D$5:$D$127,C189,'[1]Pool-gardien'!$F$5:$F$127)</f>
        <v>0</v>
      </c>
      <c r="L189" s="30">
        <f>SUMIF('[1]Pool-gardien'!$D$5:$D$127,C189,'[1]Pool-gardien'!$G$5:$G$127)</f>
        <v>0</v>
      </c>
      <c r="M189" s="30">
        <f>SUMIF('[1]Pool-gardien'!$D$5:$D$127,C189,'[1]Pool-gardien'!$H$5:$H$127)</f>
        <v>0</v>
      </c>
      <c r="N189" s="91">
        <f>SUMIF('[1]Pool-gardien'!$D$5:$D$127,C189,'[1]Pool-gardien'!$K$5:$K$127)</f>
        <v>0</v>
      </c>
      <c r="O189" s="30">
        <f>SUMIF('[1]Equipes-Pool'!$B$6:$B$35,C189,'[1]Equipes-Pool'!$D$6:$D$35)</f>
        <v>0</v>
      </c>
      <c r="P189" s="30">
        <f>SUMIF('[1]Equipes-Pool'!$B$6:$B$35,C189,'[1]Equipes-Pool'!$E$6:$E$35)</f>
        <v>0</v>
      </c>
      <c r="Q189" s="30">
        <f>SUMIF('[1]Equipes-Pool'!$B$6:$B$35,C189,'[1]Equipes-Pool'!$F$6:$F$35)</f>
        <v>0</v>
      </c>
      <c r="R189" s="91">
        <f>SUMIF('[1]Equipes-Pool'!$B$6:$B$35,C189,'[1]Equipes-Pool'!$G$6:$G$35)</f>
        <v>0</v>
      </c>
    </row>
    <row r="190" spans="1:18" ht="15.75">
      <c r="A190" s="12" t="s">
        <v>19</v>
      </c>
      <c r="B190" s="14" t="s">
        <v>75</v>
      </c>
      <c r="C190" s="55" t="s">
        <v>274</v>
      </c>
      <c r="D190" s="62" t="s">
        <v>389</v>
      </c>
      <c r="E190" s="10" t="s">
        <v>23</v>
      </c>
      <c r="F190" s="30">
        <f>SUMIF('[1]POOL-joueus'!$D$5:$D$808,C190,'[1]POOL-joueus'!$E$5:$E$808)</f>
        <v>2</v>
      </c>
      <c r="G190" s="30">
        <f>SUMIF('[1]POOL-joueus'!$D$5:$D$808,C190,'[1]POOL-joueus'!$F$5:F$808)</f>
        <v>0</v>
      </c>
      <c r="H190" s="30">
        <f>SUMIF('[1]POOL-joueus'!$D$5:$D$808,C190,'[1]POOL-joueus'!$G$5:G$808)</f>
        <v>1</v>
      </c>
      <c r="I190" s="91">
        <f t="shared" si="6"/>
        <v>1</v>
      </c>
      <c r="J190" s="81">
        <f t="shared" si="7"/>
        <v>0.5</v>
      </c>
      <c r="K190" s="30">
        <f>SUMIF('[1]Pool-gardien'!$D$5:$D$127,C190,'[1]Pool-gardien'!$F$5:$F$127)</f>
        <v>0</v>
      </c>
      <c r="L190" s="30">
        <f>SUMIF('[1]Pool-gardien'!$D$5:$D$127,C190,'[1]Pool-gardien'!$G$5:$G$127)</f>
        <v>0</v>
      </c>
      <c r="M190" s="30">
        <f>SUMIF('[1]Pool-gardien'!$D$5:$D$127,C190,'[1]Pool-gardien'!$H$5:$H$127)</f>
        <v>0</v>
      </c>
      <c r="N190" s="91">
        <f>SUMIF('[1]Pool-gardien'!$D$5:$D$127,C190,'[1]Pool-gardien'!$K$5:$K$127)</f>
        <v>0</v>
      </c>
      <c r="O190" s="30">
        <f>SUMIF('[1]Equipes-Pool'!$B$6:$B$35,C190,'[1]Equipes-Pool'!$D$6:$D$35)</f>
        <v>0</v>
      </c>
      <c r="P190" s="30">
        <f>SUMIF('[1]Equipes-Pool'!$B$6:$B$35,C190,'[1]Equipes-Pool'!$E$6:$E$35)</f>
        <v>0</v>
      </c>
      <c r="Q190" s="30">
        <f>SUMIF('[1]Equipes-Pool'!$B$6:$B$35,C190,'[1]Equipes-Pool'!$F$6:$F$35)</f>
        <v>0</v>
      </c>
      <c r="R190" s="91">
        <f>SUMIF('[1]Equipes-Pool'!$B$6:$B$35,C190,'[1]Equipes-Pool'!$G$6:$G$35)</f>
        <v>0</v>
      </c>
    </row>
    <row r="191" spans="1:18" ht="15.75">
      <c r="A191" s="12" t="s">
        <v>12</v>
      </c>
      <c r="B191" s="14" t="s">
        <v>29</v>
      </c>
      <c r="C191" s="55" t="s">
        <v>276</v>
      </c>
      <c r="D191" s="62" t="s">
        <v>389</v>
      </c>
      <c r="E191" s="10" t="s">
        <v>32</v>
      </c>
      <c r="F191" s="84">
        <f>SUMIF('[1]POOL-joueus'!$D$5:$D$808,C191,'[1]POOL-joueus'!$E$5:$E$808)</f>
        <v>0</v>
      </c>
      <c r="G191" s="84">
        <f>SUMIF('[1]POOL-joueus'!$D$5:$D$808,C191,'[1]POOL-joueus'!$F$5:F$808)</f>
        <v>0</v>
      </c>
      <c r="H191" s="84">
        <f>SUMIF('[1]POOL-joueus'!$D$5:$D$808,C191,'[1]POOL-joueus'!$G$5:G$808)</f>
        <v>0</v>
      </c>
      <c r="I191" s="90">
        <f t="shared" si="6"/>
        <v>0</v>
      </c>
      <c r="J191" s="85" t="e">
        <f t="shared" si="7"/>
        <v>#DIV/0!</v>
      </c>
      <c r="K191" s="30">
        <f>SUMIF('[1]Pool-gardien'!$D$5:$D$127,C191,'[1]Pool-gardien'!$F$5:$F$127)</f>
        <v>0</v>
      </c>
      <c r="L191" s="30">
        <f>SUMIF('[1]Pool-gardien'!$D$5:$D$127,C191,'[1]Pool-gardien'!$G$5:$G$127)</f>
        <v>0</v>
      </c>
      <c r="M191" s="30">
        <f>SUMIF('[1]Pool-gardien'!$D$5:$D$127,C191,'[1]Pool-gardien'!$H$5:$H$127)</f>
        <v>0</v>
      </c>
      <c r="N191" s="91">
        <f>SUMIF('[1]Pool-gardien'!$D$5:$D$127,C191,'[1]Pool-gardien'!$K$5:$K$127)</f>
        <v>0</v>
      </c>
      <c r="O191" s="30">
        <f>SUMIF('[1]Equipes-Pool'!$B$6:$B$35,C191,'[1]Equipes-Pool'!$D$6:$D$35)</f>
        <v>0</v>
      </c>
      <c r="P191" s="30">
        <f>SUMIF('[1]Equipes-Pool'!$B$6:$B$35,C191,'[1]Equipes-Pool'!$E$6:$E$35)</f>
        <v>0</v>
      </c>
      <c r="Q191" s="30">
        <f>SUMIF('[1]Equipes-Pool'!$B$6:$B$35,C191,'[1]Equipes-Pool'!$F$6:$F$35)</f>
        <v>0</v>
      </c>
      <c r="R191" s="91">
        <f>SUMIF('[1]Equipes-Pool'!$B$6:$B$35,C191,'[1]Equipes-Pool'!$G$6:$G$35)</f>
        <v>0</v>
      </c>
    </row>
    <row r="192" spans="1:18" ht="15.75">
      <c r="A192" s="12" t="s">
        <v>40</v>
      </c>
      <c r="B192" s="14" t="s">
        <v>13</v>
      </c>
      <c r="C192" s="55" t="s">
        <v>278</v>
      </c>
      <c r="D192" s="62" t="s">
        <v>389</v>
      </c>
      <c r="E192" s="10" t="s">
        <v>39</v>
      </c>
      <c r="F192" s="84">
        <f>SUMIF('[1]POOL-joueus'!$D$5:$D$808,C192,'[1]POOL-joueus'!$E$5:$E$808)</f>
        <v>65</v>
      </c>
      <c r="G192" s="84">
        <f>SUMIF('[1]POOL-joueus'!$D$5:$D$808,C192,'[1]POOL-joueus'!$F$5:F$808)</f>
        <v>18</v>
      </c>
      <c r="H192" s="84">
        <f>SUMIF('[1]POOL-joueus'!$D$5:$D$808,C192,'[1]POOL-joueus'!$G$5:G$808)</f>
        <v>36</v>
      </c>
      <c r="I192" s="90">
        <f t="shared" si="6"/>
        <v>54</v>
      </c>
      <c r="J192" s="85">
        <f t="shared" si="7"/>
        <v>0.8307692307692308</v>
      </c>
      <c r="K192" s="30">
        <f>SUMIF('[1]Pool-gardien'!$D$5:$D$127,C192,'[1]Pool-gardien'!$F$5:$F$127)</f>
        <v>0</v>
      </c>
      <c r="L192" s="30">
        <f>SUMIF('[1]Pool-gardien'!$D$5:$D$127,C192,'[1]Pool-gardien'!$G$5:$G$127)</f>
        <v>0</v>
      </c>
      <c r="M192" s="30">
        <f>SUMIF('[1]Pool-gardien'!$D$5:$D$127,C192,'[1]Pool-gardien'!$H$5:$H$127)</f>
        <v>0</v>
      </c>
      <c r="N192" s="91">
        <f>SUMIF('[1]Pool-gardien'!$D$5:$D$127,C192,'[1]Pool-gardien'!$K$5:$K$127)</f>
        <v>0</v>
      </c>
      <c r="O192" s="30">
        <f>SUMIF('[1]Equipes-Pool'!$B$6:$B$35,C192,'[1]Equipes-Pool'!$D$6:$D$35)</f>
        <v>0</v>
      </c>
      <c r="P192" s="30">
        <f>SUMIF('[1]Equipes-Pool'!$B$6:$B$35,C192,'[1]Equipes-Pool'!$E$6:$E$35)</f>
        <v>0</v>
      </c>
      <c r="Q192" s="30">
        <f>SUMIF('[1]Equipes-Pool'!$B$6:$B$35,C192,'[1]Equipes-Pool'!$F$6:$F$35)</f>
        <v>0</v>
      </c>
      <c r="R192" s="91">
        <f>SUMIF('[1]Equipes-Pool'!$B$6:$B$35,C192,'[1]Equipes-Pool'!$G$6:$G$35)</f>
        <v>0</v>
      </c>
    </row>
    <row r="193" spans="1:18" ht="15.75">
      <c r="A193" s="12" t="s">
        <v>12</v>
      </c>
      <c r="B193" s="14" t="s">
        <v>118</v>
      </c>
      <c r="C193" s="55" t="s">
        <v>280</v>
      </c>
      <c r="D193" s="62" t="s">
        <v>389</v>
      </c>
      <c r="E193" s="10" t="s">
        <v>45</v>
      </c>
      <c r="F193" s="84">
        <f>SUMIF('[1]POOL-joueus'!$D$5:$D$808,C193,'[1]POOL-joueus'!$E$5:$E$808)</f>
        <v>66</v>
      </c>
      <c r="G193" s="84">
        <f>SUMIF('[1]POOL-joueus'!$D$5:$D$808,C193,'[1]POOL-joueus'!$F$5:F$808)</f>
        <v>32</v>
      </c>
      <c r="H193" s="84">
        <f>SUMIF('[1]POOL-joueus'!$D$5:$D$808,C193,'[1]POOL-joueus'!$G$5:G$808)</f>
        <v>19</v>
      </c>
      <c r="I193" s="90">
        <f t="shared" si="6"/>
        <v>51</v>
      </c>
      <c r="J193" s="85">
        <f t="shared" si="7"/>
        <v>0.7727272727272727</v>
      </c>
      <c r="K193" s="30">
        <f>SUMIF('[1]Pool-gardien'!$D$5:$D$127,C193,'[1]Pool-gardien'!$F$5:$F$127)</f>
        <v>0</v>
      </c>
      <c r="L193" s="30">
        <f>SUMIF('[1]Pool-gardien'!$D$5:$D$127,C193,'[1]Pool-gardien'!$G$5:$G$127)</f>
        <v>0</v>
      </c>
      <c r="M193" s="30">
        <f>SUMIF('[1]Pool-gardien'!$D$5:$D$127,C193,'[1]Pool-gardien'!$H$5:$H$127)</f>
        <v>0</v>
      </c>
      <c r="N193" s="91">
        <f>SUMIF('[1]Pool-gardien'!$D$5:$D$127,C193,'[1]Pool-gardien'!$K$5:$K$127)</f>
        <v>0</v>
      </c>
      <c r="O193" s="30">
        <f>SUMIF('[1]Equipes-Pool'!$B$6:$B$35,C193,'[1]Equipes-Pool'!$D$6:$D$35)</f>
        <v>0</v>
      </c>
      <c r="P193" s="30">
        <f>SUMIF('[1]Equipes-Pool'!$B$6:$B$35,C193,'[1]Equipes-Pool'!$E$6:$E$35)</f>
        <v>0</v>
      </c>
      <c r="Q193" s="30">
        <f>SUMIF('[1]Equipes-Pool'!$B$6:$B$35,C193,'[1]Equipes-Pool'!$F$6:$F$35)</f>
        <v>0</v>
      </c>
      <c r="R193" s="91">
        <f>SUMIF('[1]Equipes-Pool'!$B$6:$B$35,C193,'[1]Equipes-Pool'!$G$6:$G$35)</f>
        <v>0</v>
      </c>
    </row>
    <row r="194" spans="1:18" ht="15.75">
      <c r="A194" s="12" t="s">
        <v>12</v>
      </c>
      <c r="B194" s="14" t="s">
        <v>25</v>
      </c>
      <c r="C194" s="55" t="s">
        <v>282</v>
      </c>
      <c r="D194" s="62" t="s">
        <v>389</v>
      </c>
      <c r="E194" s="10" t="s">
        <v>52</v>
      </c>
      <c r="F194" s="84">
        <f>SUMIF('[1]POOL-joueus'!$D$5:$D$808,C194,'[1]POOL-joueus'!$E$5:$E$808)</f>
        <v>63</v>
      </c>
      <c r="G194" s="84">
        <f>SUMIF('[1]POOL-joueus'!$D$5:$D$808,C194,'[1]POOL-joueus'!$F$5:F$808)</f>
        <v>17</v>
      </c>
      <c r="H194" s="84">
        <f>SUMIF('[1]POOL-joueus'!$D$5:$D$808,C194,'[1]POOL-joueus'!$G$5:G$808)</f>
        <v>23</v>
      </c>
      <c r="I194" s="90">
        <f t="shared" si="6"/>
        <v>40</v>
      </c>
      <c r="J194" s="85">
        <f t="shared" si="7"/>
        <v>0.6349206349206349</v>
      </c>
      <c r="K194" s="30">
        <f>SUMIF('[1]Pool-gardien'!$D$5:$D$127,C194,'[1]Pool-gardien'!$F$5:$F$127)</f>
        <v>0</v>
      </c>
      <c r="L194" s="30">
        <f>SUMIF('[1]Pool-gardien'!$D$5:$D$127,C194,'[1]Pool-gardien'!$G$5:$G$127)</f>
        <v>0</v>
      </c>
      <c r="M194" s="30">
        <f>SUMIF('[1]Pool-gardien'!$D$5:$D$127,C194,'[1]Pool-gardien'!$H$5:$H$127)</f>
        <v>0</v>
      </c>
      <c r="N194" s="91">
        <f>SUMIF('[1]Pool-gardien'!$D$5:$D$127,C194,'[1]Pool-gardien'!$K$5:$K$127)</f>
        <v>0</v>
      </c>
      <c r="O194" s="30">
        <f>SUMIF('[1]Equipes-Pool'!$B$6:$B$35,C194,'[1]Equipes-Pool'!$D$6:$D$35)</f>
        <v>0</v>
      </c>
      <c r="P194" s="30">
        <f>SUMIF('[1]Equipes-Pool'!$B$6:$B$35,C194,'[1]Equipes-Pool'!$E$6:$E$35)</f>
        <v>0</v>
      </c>
      <c r="Q194" s="30">
        <f>SUMIF('[1]Equipes-Pool'!$B$6:$B$35,C194,'[1]Equipes-Pool'!$F$6:$F$35)</f>
        <v>0</v>
      </c>
      <c r="R194" s="91">
        <f>SUMIF('[1]Equipes-Pool'!$B$6:$B$35,C194,'[1]Equipes-Pool'!$G$6:$G$35)</f>
        <v>0</v>
      </c>
    </row>
    <row r="195" spans="1:18" ht="15.75">
      <c r="A195" s="20" t="s">
        <v>12</v>
      </c>
      <c r="B195" s="21" t="s">
        <v>103</v>
      </c>
      <c r="C195" s="55" t="s">
        <v>284</v>
      </c>
      <c r="D195" s="62" t="s">
        <v>389</v>
      </c>
      <c r="E195" s="10" t="s">
        <v>27</v>
      </c>
      <c r="F195" s="84">
        <f>SUMIF('[1]POOL-joueus'!$D$5:$D$808,C195,'[1]POOL-joueus'!$E$5:$E$808)</f>
        <v>53</v>
      </c>
      <c r="G195" s="84">
        <f>SUMIF('[1]POOL-joueus'!$D$5:$D$808,C195,'[1]POOL-joueus'!$F$5:F$808)</f>
        <v>16</v>
      </c>
      <c r="H195" s="84">
        <f>SUMIF('[1]POOL-joueus'!$D$5:$D$808,C195,'[1]POOL-joueus'!$G$5:G$808)</f>
        <v>17</v>
      </c>
      <c r="I195" s="90">
        <f t="shared" si="6"/>
        <v>33</v>
      </c>
      <c r="J195" s="85">
        <f t="shared" si="7"/>
        <v>0.6226415094339622</v>
      </c>
      <c r="K195" s="30">
        <f>SUMIF('[1]Pool-gardien'!$D$5:$D$127,C195,'[1]Pool-gardien'!$F$5:$F$127)</f>
        <v>0</v>
      </c>
      <c r="L195" s="30">
        <f>SUMIF('[1]Pool-gardien'!$D$5:$D$127,C195,'[1]Pool-gardien'!$G$5:$G$127)</f>
        <v>0</v>
      </c>
      <c r="M195" s="30">
        <f>SUMIF('[1]Pool-gardien'!$D$5:$D$127,C195,'[1]Pool-gardien'!$H$5:$H$127)</f>
        <v>0</v>
      </c>
      <c r="N195" s="91">
        <f>SUMIF('[1]Pool-gardien'!$D$5:$D$127,C195,'[1]Pool-gardien'!$K$5:$K$127)</f>
        <v>0</v>
      </c>
      <c r="O195" s="30">
        <f>SUMIF('[1]Equipes-Pool'!$B$6:$B$35,C195,'[1]Equipes-Pool'!$D$6:$D$35)</f>
        <v>0</v>
      </c>
      <c r="P195" s="30">
        <f>SUMIF('[1]Equipes-Pool'!$B$6:$B$35,C195,'[1]Equipes-Pool'!$E$6:$E$35)</f>
        <v>0</v>
      </c>
      <c r="Q195" s="30">
        <f>SUMIF('[1]Equipes-Pool'!$B$6:$B$35,C195,'[1]Equipes-Pool'!$F$6:$F$35)</f>
        <v>0</v>
      </c>
      <c r="R195" s="91">
        <f>SUMIF('[1]Equipes-Pool'!$B$6:$B$35,C195,'[1]Equipes-Pool'!$G$6:$G$35)</f>
        <v>0</v>
      </c>
    </row>
    <row r="196" spans="1:18" ht="15.75">
      <c r="A196" s="12" t="s">
        <v>40</v>
      </c>
      <c r="B196" s="14" t="s">
        <v>125</v>
      </c>
      <c r="C196" s="55" t="s">
        <v>286</v>
      </c>
      <c r="D196" s="62" t="s">
        <v>389</v>
      </c>
      <c r="E196" s="10" t="s">
        <v>62</v>
      </c>
      <c r="F196" s="84">
        <f>SUMIF('[1]POOL-joueus'!$D$5:$D$808,C196,'[1]POOL-joueus'!$E$5:$E$808)</f>
        <v>66</v>
      </c>
      <c r="G196" s="84">
        <f>SUMIF('[1]POOL-joueus'!$D$5:$D$808,C196,'[1]POOL-joueus'!$F$5:F$808)</f>
        <v>17</v>
      </c>
      <c r="H196" s="84">
        <f>SUMIF('[1]POOL-joueus'!$D$5:$D$808,C196,'[1]POOL-joueus'!$G$5:G$808)</f>
        <v>41</v>
      </c>
      <c r="I196" s="90">
        <f t="shared" si="6"/>
        <v>58</v>
      </c>
      <c r="J196" s="85">
        <f t="shared" si="7"/>
        <v>0.8787878787878788</v>
      </c>
      <c r="K196" s="30">
        <f>SUMIF('[1]Pool-gardien'!$D$5:$D$127,C196,'[1]Pool-gardien'!$F$5:$F$127)</f>
        <v>0</v>
      </c>
      <c r="L196" s="30">
        <f>SUMIF('[1]Pool-gardien'!$D$5:$D$127,C196,'[1]Pool-gardien'!$G$5:$G$127)</f>
        <v>0</v>
      </c>
      <c r="M196" s="30">
        <f>SUMIF('[1]Pool-gardien'!$D$5:$D$127,C196,'[1]Pool-gardien'!$H$5:$H$127)</f>
        <v>0</v>
      </c>
      <c r="N196" s="91">
        <f>SUMIF('[1]Pool-gardien'!$D$5:$D$127,C196,'[1]Pool-gardien'!$K$5:$K$127)</f>
        <v>0</v>
      </c>
      <c r="O196" s="30">
        <f>SUMIF('[1]Equipes-Pool'!$B$6:$B$35,C196,'[1]Equipes-Pool'!$D$6:$D$35)</f>
        <v>0</v>
      </c>
      <c r="P196" s="30">
        <f>SUMIF('[1]Equipes-Pool'!$B$6:$B$35,C196,'[1]Equipes-Pool'!$E$6:$E$35)</f>
        <v>0</v>
      </c>
      <c r="Q196" s="30">
        <f>SUMIF('[1]Equipes-Pool'!$B$6:$B$35,C196,'[1]Equipes-Pool'!$F$6:$F$35)</f>
        <v>0</v>
      </c>
      <c r="R196" s="91">
        <f>SUMIF('[1]Equipes-Pool'!$B$6:$B$35,C196,'[1]Equipes-Pool'!$G$6:$G$35)</f>
        <v>0</v>
      </c>
    </row>
    <row r="197" spans="1:18" ht="16.5" thickBot="1">
      <c r="A197" s="49" t="s">
        <v>12</v>
      </c>
      <c r="B197" s="50" t="s">
        <v>57</v>
      </c>
      <c r="C197" s="66" t="s">
        <v>288</v>
      </c>
      <c r="D197" s="64" t="s">
        <v>389</v>
      </c>
      <c r="E197" s="59" t="s">
        <v>65</v>
      </c>
      <c r="F197" s="84">
        <f>SUMIF('[1]POOL-joueus'!$D$5:$D$808,C197,'[1]POOL-joueus'!$E$5:$E$808)</f>
        <v>60</v>
      </c>
      <c r="G197" s="84">
        <f>SUMIF('[1]POOL-joueus'!$D$5:$D$808,C197,'[1]POOL-joueus'!$F$5:F$808)</f>
        <v>11</v>
      </c>
      <c r="H197" s="84">
        <f>SUMIF('[1]POOL-joueus'!$D$5:$D$808,C197,'[1]POOL-joueus'!$G$5:G$808)</f>
        <v>24</v>
      </c>
      <c r="I197" s="90">
        <f t="shared" si="6"/>
        <v>35</v>
      </c>
      <c r="J197" s="85">
        <f t="shared" si="7"/>
        <v>0.5833333333333334</v>
      </c>
      <c r="K197" s="30">
        <f>SUMIF('[1]Pool-gardien'!$D$5:$D$127,C197,'[1]Pool-gardien'!$F$5:$F$127)</f>
        <v>0</v>
      </c>
      <c r="L197" s="30">
        <f>SUMIF('[1]Pool-gardien'!$D$5:$D$127,C197,'[1]Pool-gardien'!$G$5:$G$127)</f>
        <v>0</v>
      </c>
      <c r="M197" s="30">
        <f>SUMIF('[1]Pool-gardien'!$D$5:$D$127,C197,'[1]Pool-gardien'!$H$5:$H$127)</f>
        <v>0</v>
      </c>
      <c r="N197" s="91">
        <f>SUMIF('[1]Pool-gardien'!$D$5:$D$127,C197,'[1]Pool-gardien'!$K$5:$K$127)</f>
        <v>0</v>
      </c>
      <c r="O197" s="30">
        <f>SUMIF('[1]Equipes-Pool'!$B$6:$B$35,C197,'[1]Equipes-Pool'!$D$6:$D$35)</f>
        <v>0</v>
      </c>
      <c r="P197" s="30">
        <f>SUMIF('[1]Equipes-Pool'!$B$6:$B$35,C197,'[1]Equipes-Pool'!$E$6:$E$35)</f>
        <v>0</v>
      </c>
      <c r="Q197" s="30">
        <f>SUMIF('[1]Equipes-Pool'!$B$6:$B$35,C197,'[1]Equipes-Pool'!$F$6:$F$35)</f>
        <v>0</v>
      </c>
      <c r="R197" s="91">
        <f>SUMIF('[1]Equipes-Pool'!$B$6:$B$35,C197,'[1]Equipes-Pool'!$G$6:$G$35)</f>
        <v>0</v>
      </c>
    </row>
    <row r="198" spans="1:18" ht="15.75">
      <c r="A198" s="20" t="s">
        <v>40</v>
      </c>
      <c r="B198" s="21" t="s">
        <v>25</v>
      </c>
      <c r="C198" s="67" t="s">
        <v>271</v>
      </c>
      <c r="D198" s="63" t="s">
        <v>390</v>
      </c>
      <c r="E198" s="65" t="s">
        <v>8</v>
      </c>
      <c r="F198" s="84">
        <f>SUMIF('[1]POOL-joueus'!$D$5:$D$808,C198,'[1]POOL-joueus'!$E$5:$E$808)</f>
        <v>0</v>
      </c>
      <c r="G198" s="84">
        <f>SUMIF('[1]POOL-joueus'!$D$5:$D$808,C198,'[1]POOL-joueus'!$F$5:F$808)</f>
        <v>0</v>
      </c>
      <c r="H198" s="84">
        <f>SUMIF('[1]POOL-joueus'!$D$5:$D$808,C198,'[1]POOL-joueus'!$G$5:G$808)</f>
        <v>0</v>
      </c>
      <c r="I198" s="90">
        <f t="shared" si="6"/>
        <v>0</v>
      </c>
      <c r="J198" s="85" t="e">
        <f t="shared" si="7"/>
        <v>#DIV/0!</v>
      </c>
      <c r="K198" s="30">
        <f>SUMIF('[1]Pool-gardien'!$D$5:$D$127,C198,'[1]Pool-gardien'!$F$5:$F$127)</f>
        <v>0</v>
      </c>
      <c r="L198" s="30">
        <f>SUMIF('[1]Pool-gardien'!$D$5:$D$127,C198,'[1]Pool-gardien'!$G$5:$G$127)</f>
        <v>0</v>
      </c>
      <c r="M198" s="30">
        <f>SUMIF('[1]Pool-gardien'!$D$5:$D$127,C198,'[1]Pool-gardien'!$H$5:$H$127)</f>
        <v>0</v>
      </c>
      <c r="N198" s="91">
        <f>SUMIF('[1]Pool-gardien'!$D$5:$D$127,C198,'[1]Pool-gardien'!$K$5:$K$127)</f>
        <v>0</v>
      </c>
      <c r="O198" s="30">
        <f>SUMIF('[1]Equipes-Pool'!$B$6:$B$35,C198,'[1]Equipes-Pool'!$D$6:$D$35)</f>
        <v>0</v>
      </c>
      <c r="P198" s="30">
        <f>SUMIF('[1]Equipes-Pool'!$B$6:$B$35,C198,'[1]Equipes-Pool'!$E$6:$E$35)</f>
        <v>0</v>
      </c>
      <c r="Q198" s="30">
        <f>SUMIF('[1]Equipes-Pool'!$B$6:$B$35,C198,'[1]Equipes-Pool'!$F$6:$F$35)</f>
        <v>0</v>
      </c>
      <c r="R198" s="91">
        <f>SUMIF('[1]Equipes-Pool'!$B$6:$B$35,C198,'[1]Equipes-Pool'!$G$6:$G$35)</f>
        <v>0</v>
      </c>
    </row>
    <row r="199" spans="1:18" ht="15.75">
      <c r="A199" s="12" t="s">
        <v>40</v>
      </c>
      <c r="B199" s="14" t="s">
        <v>118</v>
      </c>
      <c r="C199" s="55" t="s">
        <v>273</v>
      </c>
      <c r="D199" s="62" t="s">
        <v>390</v>
      </c>
      <c r="E199" s="10" t="s">
        <v>16</v>
      </c>
      <c r="F199" s="84">
        <f>SUMIF('[1]POOL-joueus'!$D$5:$D$808,C199,'[1]POOL-joueus'!$E$5:$E$808)</f>
        <v>65</v>
      </c>
      <c r="G199" s="84">
        <f>SUMIF('[1]POOL-joueus'!$D$5:$D$808,C199,'[1]POOL-joueus'!$F$5:F$808)</f>
        <v>15</v>
      </c>
      <c r="H199" s="84">
        <f>SUMIF('[1]POOL-joueus'!$D$5:$D$808,C199,'[1]POOL-joueus'!$G$5:G$808)</f>
        <v>26</v>
      </c>
      <c r="I199" s="90">
        <f t="shared" si="6"/>
        <v>41</v>
      </c>
      <c r="J199" s="85">
        <f t="shared" si="7"/>
        <v>0.6307692307692307</v>
      </c>
      <c r="K199" s="30">
        <f>SUMIF('[1]Pool-gardien'!$D$5:$D$127,C199,'[1]Pool-gardien'!$F$5:$F$127)</f>
        <v>0</v>
      </c>
      <c r="L199" s="30">
        <f>SUMIF('[1]Pool-gardien'!$D$5:$D$127,C199,'[1]Pool-gardien'!$G$5:$G$127)</f>
        <v>0</v>
      </c>
      <c r="M199" s="30">
        <f>SUMIF('[1]Pool-gardien'!$D$5:$D$127,C199,'[1]Pool-gardien'!$H$5:$H$127)</f>
        <v>0</v>
      </c>
      <c r="N199" s="91">
        <f>SUMIF('[1]Pool-gardien'!$D$5:$D$127,C199,'[1]Pool-gardien'!$K$5:$K$127)</f>
        <v>0</v>
      </c>
      <c r="O199" s="30">
        <f>SUMIF('[1]Equipes-Pool'!$B$6:$B$35,C199,'[1]Equipes-Pool'!$D$6:$D$35)</f>
        <v>0</v>
      </c>
      <c r="P199" s="30">
        <f>SUMIF('[1]Equipes-Pool'!$B$6:$B$35,C199,'[1]Equipes-Pool'!$E$6:$E$35)</f>
        <v>0</v>
      </c>
      <c r="Q199" s="30">
        <f>SUMIF('[1]Equipes-Pool'!$B$6:$B$35,C199,'[1]Equipes-Pool'!$F$6:$F$35)</f>
        <v>0</v>
      </c>
      <c r="R199" s="91">
        <f>SUMIF('[1]Equipes-Pool'!$B$6:$B$35,C199,'[1]Equipes-Pool'!$G$6:$G$35)</f>
        <v>0</v>
      </c>
    </row>
    <row r="200" spans="1:18" ht="15.75">
      <c r="A200" s="12" t="s">
        <v>40</v>
      </c>
      <c r="B200" s="14" t="s">
        <v>91</v>
      </c>
      <c r="C200" s="55" t="s">
        <v>275</v>
      </c>
      <c r="D200" s="62" t="s">
        <v>390</v>
      </c>
      <c r="E200" s="10" t="s">
        <v>23</v>
      </c>
      <c r="F200" s="84">
        <f>SUMIF('[1]POOL-joueus'!$D$5:$D$808,C200,'[1]POOL-joueus'!$E$5:$E$808)</f>
        <v>64</v>
      </c>
      <c r="G200" s="84">
        <f>SUMIF('[1]POOL-joueus'!$D$5:$D$808,C200,'[1]POOL-joueus'!$F$5:F$808)</f>
        <v>19</v>
      </c>
      <c r="H200" s="84">
        <f>SUMIF('[1]POOL-joueus'!$D$5:$D$808,C200,'[1]POOL-joueus'!$G$5:G$808)</f>
        <v>24</v>
      </c>
      <c r="I200" s="90">
        <f t="shared" si="6"/>
        <v>43</v>
      </c>
      <c r="J200" s="85">
        <f t="shared" si="7"/>
        <v>0.671875</v>
      </c>
      <c r="K200" s="30">
        <f>SUMIF('[1]Pool-gardien'!$D$5:$D$127,C200,'[1]Pool-gardien'!$F$5:$F$127)</f>
        <v>0</v>
      </c>
      <c r="L200" s="30">
        <f>SUMIF('[1]Pool-gardien'!$D$5:$D$127,C200,'[1]Pool-gardien'!$G$5:$G$127)</f>
        <v>0</v>
      </c>
      <c r="M200" s="30">
        <f>SUMIF('[1]Pool-gardien'!$D$5:$D$127,C200,'[1]Pool-gardien'!$H$5:$H$127)</f>
        <v>0</v>
      </c>
      <c r="N200" s="91">
        <f>SUMIF('[1]Pool-gardien'!$D$5:$D$127,C200,'[1]Pool-gardien'!$K$5:$K$127)</f>
        <v>0</v>
      </c>
      <c r="O200" s="30">
        <f>SUMIF('[1]Equipes-Pool'!$B$6:$B$35,C200,'[1]Equipes-Pool'!$D$6:$D$35)</f>
        <v>0</v>
      </c>
      <c r="P200" s="30">
        <f>SUMIF('[1]Equipes-Pool'!$B$6:$B$35,C200,'[1]Equipes-Pool'!$E$6:$E$35)</f>
        <v>0</v>
      </c>
      <c r="Q200" s="30">
        <f>SUMIF('[1]Equipes-Pool'!$B$6:$B$35,C200,'[1]Equipes-Pool'!$F$6:$F$35)</f>
        <v>0</v>
      </c>
      <c r="R200" s="91">
        <f>SUMIF('[1]Equipes-Pool'!$B$6:$B$35,C200,'[1]Equipes-Pool'!$G$6:$G$35)</f>
        <v>0</v>
      </c>
    </row>
    <row r="201" spans="1:18" ht="15.75">
      <c r="A201" s="12" t="s">
        <v>33</v>
      </c>
      <c r="B201" s="14" t="s">
        <v>91</v>
      </c>
      <c r="C201" s="55" t="s">
        <v>277</v>
      </c>
      <c r="D201" s="62" t="s">
        <v>390</v>
      </c>
      <c r="E201" s="10" t="s">
        <v>32</v>
      </c>
      <c r="F201" s="84">
        <f>SUMIF('[1]POOL-joueus'!$D$5:$D$808,C201,'[1]POOL-joueus'!$E$5:$E$808)</f>
        <v>42</v>
      </c>
      <c r="G201" s="84">
        <f>SUMIF('[1]POOL-joueus'!$D$5:$D$808,C201,'[1]POOL-joueus'!$F$5:F$808)</f>
        <v>5</v>
      </c>
      <c r="H201" s="84">
        <f>SUMIF('[1]POOL-joueus'!$D$5:$D$808,C201,'[1]POOL-joueus'!$G$5:G$808)</f>
        <v>12</v>
      </c>
      <c r="I201" s="90">
        <f t="shared" si="6"/>
        <v>17</v>
      </c>
      <c r="J201" s="85">
        <f t="shared" si="7"/>
        <v>0.40476190476190477</v>
      </c>
      <c r="K201" s="30">
        <f>SUMIF('[1]Pool-gardien'!$D$5:$D$127,C201,'[1]Pool-gardien'!$F$5:$F$127)</f>
        <v>0</v>
      </c>
      <c r="L201" s="30">
        <f>SUMIF('[1]Pool-gardien'!$D$5:$D$127,C201,'[1]Pool-gardien'!$G$5:$G$127)</f>
        <v>0</v>
      </c>
      <c r="M201" s="30">
        <f>SUMIF('[1]Pool-gardien'!$D$5:$D$127,C201,'[1]Pool-gardien'!$H$5:$H$127)</f>
        <v>0</v>
      </c>
      <c r="N201" s="91">
        <f>SUMIF('[1]Pool-gardien'!$D$5:$D$127,C201,'[1]Pool-gardien'!$K$5:$K$127)</f>
        <v>0</v>
      </c>
      <c r="O201" s="30">
        <f>SUMIF('[1]Equipes-Pool'!$B$6:$B$35,C201,'[1]Equipes-Pool'!$D$6:$D$35)</f>
        <v>0</v>
      </c>
      <c r="P201" s="30">
        <f>SUMIF('[1]Equipes-Pool'!$B$6:$B$35,C201,'[1]Equipes-Pool'!$E$6:$E$35)</f>
        <v>0</v>
      </c>
      <c r="Q201" s="30">
        <f>SUMIF('[1]Equipes-Pool'!$B$6:$B$35,C201,'[1]Equipes-Pool'!$F$6:$F$35)</f>
        <v>0</v>
      </c>
      <c r="R201" s="91">
        <f>SUMIF('[1]Equipes-Pool'!$B$6:$B$35,C201,'[1]Equipes-Pool'!$G$6:$G$35)</f>
        <v>0</v>
      </c>
    </row>
    <row r="202" spans="1:18" ht="15.75">
      <c r="A202" s="12" t="s">
        <v>33</v>
      </c>
      <c r="B202" s="14" t="s">
        <v>105</v>
      </c>
      <c r="C202" s="55" t="s">
        <v>279</v>
      </c>
      <c r="D202" s="62" t="s">
        <v>390</v>
      </c>
      <c r="E202" s="10" t="s">
        <v>39</v>
      </c>
      <c r="F202" s="84">
        <f>SUMIF('[1]POOL-joueus'!$D$5:$D$808,C202,'[1]POOL-joueus'!$E$5:$E$808)</f>
        <v>28</v>
      </c>
      <c r="G202" s="84">
        <f>SUMIF('[1]POOL-joueus'!$D$5:$D$808,C202,'[1]POOL-joueus'!$F$5:F$808)</f>
        <v>0</v>
      </c>
      <c r="H202" s="84">
        <f>SUMIF('[1]POOL-joueus'!$D$5:$D$808,C202,'[1]POOL-joueus'!$G$5:G$808)</f>
        <v>6</v>
      </c>
      <c r="I202" s="90">
        <f t="shared" si="6"/>
        <v>6</v>
      </c>
      <c r="J202" s="85">
        <f t="shared" si="7"/>
        <v>0.21428571428571427</v>
      </c>
      <c r="K202" s="30">
        <f>SUMIF('[1]Pool-gardien'!$D$5:$D$127,C202,'[1]Pool-gardien'!$F$5:$F$127)</f>
        <v>0</v>
      </c>
      <c r="L202" s="30">
        <f>SUMIF('[1]Pool-gardien'!$D$5:$D$127,C202,'[1]Pool-gardien'!$G$5:$G$127)</f>
        <v>0</v>
      </c>
      <c r="M202" s="30">
        <f>SUMIF('[1]Pool-gardien'!$D$5:$D$127,C202,'[1]Pool-gardien'!$H$5:$H$127)</f>
        <v>0</v>
      </c>
      <c r="N202" s="91">
        <f>SUMIF('[1]Pool-gardien'!$D$5:$D$127,C202,'[1]Pool-gardien'!$K$5:$K$127)</f>
        <v>0</v>
      </c>
      <c r="O202" s="30">
        <f>SUMIF('[1]Equipes-Pool'!$B$6:$B$35,C202,'[1]Equipes-Pool'!$D$6:$D$35)</f>
        <v>0</v>
      </c>
      <c r="P202" s="30">
        <f>SUMIF('[1]Equipes-Pool'!$B$6:$B$35,C202,'[1]Equipes-Pool'!$E$6:$E$35)</f>
        <v>0</v>
      </c>
      <c r="Q202" s="30">
        <f>SUMIF('[1]Equipes-Pool'!$B$6:$B$35,C202,'[1]Equipes-Pool'!$F$6:$F$35)</f>
        <v>0</v>
      </c>
      <c r="R202" s="91">
        <f>SUMIF('[1]Equipes-Pool'!$B$6:$B$35,C202,'[1]Equipes-Pool'!$G$6:$G$35)</f>
        <v>0</v>
      </c>
    </row>
    <row r="203" spans="1:18" ht="15.75">
      <c r="A203" s="12" t="s">
        <v>19</v>
      </c>
      <c r="B203" s="14" t="s">
        <v>57</v>
      </c>
      <c r="C203" s="55" t="s">
        <v>281</v>
      </c>
      <c r="D203" s="62" t="s">
        <v>390</v>
      </c>
      <c r="E203" s="10" t="s">
        <v>45</v>
      </c>
      <c r="F203" s="30">
        <f>SUMIF('[1]POOL-joueus'!$D$5:$D$808,C203,'[1]POOL-joueus'!$E$5:$E$808)</f>
        <v>12</v>
      </c>
      <c r="G203" s="30">
        <f>SUMIF('[1]POOL-joueus'!$D$5:$D$808,C203,'[1]POOL-joueus'!$F$5:F$808)</f>
        <v>1</v>
      </c>
      <c r="H203" s="30">
        <f>SUMIF('[1]POOL-joueus'!$D$5:$D$808,C203,'[1]POOL-joueus'!$G$5:G$808)</f>
        <v>1</v>
      </c>
      <c r="I203" s="91">
        <f t="shared" si="6"/>
        <v>2</v>
      </c>
      <c r="J203" s="81">
        <f t="shared" si="7"/>
        <v>0.16666666666666666</v>
      </c>
      <c r="K203" s="30">
        <f>SUMIF('[1]Pool-gardien'!$D$5:$D$127,C203,'[1]Pool-gardien'!$F$5:$F$127)</f>
        <v>0</v>
      </c>
      <c r="L203" s="30">
        <f>SUMIF('[1]Pool-gardien'!$D$5:$D$127,C203,'[1]Pool-gardien'!$G$5:$G$127)</f>
        <v>0</v>
      </c>
      <c r="M203" s="30">
        <f>SUMIF('[1]Pool-gardien'!$D$5:$D$127,C203,'[1]Pool-gardien'!$H$5:$H$127)</f>
        <v>0</v>
      </c>
      <c r="N203" s="91">
        <f>SUMIF('[1]Pool-gardien'!$D$5:$D$127,C203,'[1]Pool-gardien'!$K$5:$K$127)</f>
        <v>0</v>
      </c>
      <c r="O203" s="30">
        <f>SUMIF('[1]Equipes-Pool'!$B$6:$B$35,C203,'[1]Equipes-Pool'!$D$6:$D$35)</f>
        <v>0</v>
      </c>
      <c r="P203" s="30">
        <f>SUMIF('[1]Equipes-Pool'!$B$6:$B$35,C203,'[1]Equipes-Pool'!$E$6:$E$35)</f>
        <v>0</v>
      </c>
      <c r="Q203" s="30">
        <f>SUMIF('[1]Equipes-Pool'!$B$6:$B$35,C203,'[1]Equipes-Pool'!$F$6:$F$35)</f>
        <v>0</v>
      </c>
      <c r="R203" s="91">
        <f>SUMIF('[1]Equipes-Pool'!$B$6:$B$35,C203,'[1]Equipes-Pool'!$G$6:$G$35)</f>
        <v>0</v>
      </c>
    </row>
    <row r="204" spans="1:18" ht="15.75">
      <c r="A204" s="12" t="s">
        <v>12</v>
      </c>
      <c r="B204" s="14" t="s">
        <v>118</v>
      </c>
      <c r="C204" s="55" t="s">
        <v>283</v>
      </c>
      <c r="D204" s="62" t="s">
        <v>390</v>
      </c>
      <c r="E204" s="10" t="s">
        <v>52</v>
      </c>
      <c r="F204" s="84">
        <f>SUMIF('[1]POOL-joueus'!$D$5:$D$808,C204,'[1]POOL-joueus'!$E$5:$E$808)</f>
        <v>23</v>
      </c>
      <c r="G204" s="84">
        <f>SUMIF('[1]POOL-joueus'!$D$5:$D$808,C204,'[1]POOL-joueus'!$F$5:F$808)</f>
        <v>3</v>
      </c>
      <c r="H204" s="84">
        <f>SUMIF('[1]POOL-joueus'!$D$5:$D$808,C204,'[1]POOL-joueus'!$G$5:G$808)</f>
        <v>7</v>
      </c>
      <c r="I204" s="90">
        <f t="shared" si="6"/>
        <v>10</v>
      </c>
      <c r="J204" s="85">
        <f t="shared" si="7"/>
        <v>0.43478260869565216</v>
      </c>
      <c r="K204" s="30">
        <f>SUMIF('[1]Pool-gardien'!$D$5:$D$127,C204,'[1]Pool-gardien'!$F$5:$F$127)</f>
        <v>0</v>
      </c>
      <c r="L204" s="30">
        <f>SUMIF('[1]Pool-gardien'!$D$5:$D$127,C204,'[1]Pool-gardien'!$G$5:$G$127)</f>
        <v>0</v>
      </c>
      <c r="M204" s="30">
        <f>SUMIF('[1]Pool-gardien'!$D$5:$D$127,C204,'[1]Pool-gardien'!$H$5:$H$127)</f>
        <v>0</v>
      </c>
      <c r="N204" s="91">
        <f>SUMIF('[1]Pool-gardien'!$D$5:$D$127,C204,'[1]Pool-gardien'!$K$5:$K$127)</f>
        <v>0</v>
      </c>
      <c r="O204" s="30">
        <f>SUMIF('[1]Equipes-Pool'!$B$6:$B$35,C204,'[1]Equipes-Pool'!$D$6:$D$35)</f>
        <v>0</v>
      </c>
      <c r="P204" s="30">
        <f>SUMIF('[1]Equipes-Pool'!$B$6:$B$35,C204,'[1]Equipes-Pool'!$E$6:$E$35)</f>
        <v>0</v>
      </c>
      <c r="Q204" s="30">
        <f>SUMIF('[1]Equipes-Pool'!$B$6:$B$35,C204,'[1]Equipes-Pool'!$F$6:$F$35)</f>
        <v>0</v>
      </c>
      <c r="R204" s="91">
        <f>SUMIF('[1]Equipes-Pool'!$B$6:$B$35,C204,'[1]Equipes-Pool'!$G$6:$G$35)</f>
        <v>0</v>
      </c>
    </row>
    <row r="205" spans="1:18" ht="15.75">
      <c r="A205" s="12" t="s">
        <v>9</v>
      </c>
      <c r="B205" s="14" t="s">
        <v>78</v>
      </c>
      <c r="C205" s="55" t="s">
        <v>285</v>
      </c>
      <c r="D205" s="62" t="s">
        <v>390</v>
      </c>
      <c r="E205" s="10" t="s">
        <v>27</v>
      </c>
      <c r="F205" s="30">
        <f>SUMIF('[1]POOL-joueus'!$D$5:$D$808,C205,'[1]POOL-joueus'!$E$5:$E$808)</f>
        <v>0</v>
      </c>
      <c r="G205" s="30">
        <f>SUMIF('[1]POOL-joueus'!$D$5:$D$808,C205,'[1]POOL-joueus'!$F$5:F$808)</f>
        <v>0</v>
      </c>
      <c r="H205" s="30">
        <f>SUMIF('[1]POOL-joueus'!$D$5:$D$808,C205,'[1]POOL-joueus'!$G$5:G$808)</f>
        <v>0</v>
      </c>
      <c r="I205" s="91">
        <f t="shared" si="6"/>
        <v>0</v>
      </c>
      <c r="J205" s="81" t="e">
        <f t="shared" si="7"/>
        <v>#DIV/0!</v>
      </c>
      <c r="K205" s="30">
        <f>SUMIF('[1]Pool-gardien'!$D$5:$D$127,C205,'[1]Pool-gardien'!$F$5:$F$127)</f>
        <v>0</v>
      </c>
      <c r="L205" s="30">
        <f>SUMIF('[1]Pool-gardien'!$D$5:$D$127,C205,'[1]Pool-gardien'!$G$5:$G$127)</f>
        <v>0</v>
      </c>
      <c r="M205" s="30">
        <f>SUMIF('[1]Pool-gardien'!$D$5:$D$127,C205,'[1]Pool-gardien'!$H$5:$H$127)</f>
        <v>0</v>
      </c>
      <c r="N205" s="91">
        <f>SUMIF('[1]Pool-gardien'!$D$5:$D$127,C205,'[1]Pool-gardien'!$K$5:$K$127)</f>
        <v>0</v>
      </c>
      <c r="O205" s="30">
        <f>SUMIF('[1]Equipes-Pool'!$B$6:$B$35,C205,'[1]Equipes-Pool'!$D$6:$D$35)</f>
        <v>0</v>
      </c>
      <c r="P205" s="30">
        <f>SUMIF('[1]Equipes-Pool'!$B$6:$B$35,C205,'[1]Equipes-Pool'!$E$6:$E$35)</f>
        <v>0</v>
      </c>
      <c r="Q205" s="30">
        <f>SUMIF('[1]Equipes-Pool'!$B$6:$B$35,C205,'[1]Equipes-Pool'!$F$6:$F$35)</f>
        <v>0</v>
      </c>
      <c r="R205" s="91">
        <f>SUMIF('[1]Equipes-Pool'!$B$6:$B$35,C205,'[1]Equipes-Pool'!$G$6:$G$35)</f>
        <v>0</v>
      </c>
    </row>
    <row r="206" spans="1:18" ht="15.75">
      <c r="A206" s="17" t="s">
        <v>28</v>
      </c>
      <c r="B206" s="18" t="s">
        <v>75</v>
      </c>
      <c r="C206" s="68" t="s">
        <v>287</v>
      </c>
      <c r="D206" s="62" t="s">
        <v>390</v>
      </c>
      <c r="E206" s="10" t="s">
        <v>62</v>
      </c>
      <c r="F206" s="82">
        <f>SUMIF('[1]Pool-gardien'!$D$5:$D$127,C206,'[1]Pool-gardien'!$E$5:$E$127)</f>
        <v>33</v>
      </c>
      <c r="G206" s="82">
        <f>SUMIF('[1]Pool-gardien'!$D$5:$D$127,C206,'[1]Pool-gardien'!$I$5:$I$127)</f>
        <v>0</v>
      </c>
      <c r="H206" s="82">
        <f>SUMIF('[1]Pool-gardien'!$D$5:$D$127,C206,'[1]Pool-gardien'!$J$5:$J$127)</f>
        <v>0</v>
      </c>
      <c r="I206" s="92">
        <f t="shared" si="6"/>
        <v>0</v>
      </c>
      <c r="J206" s="81">
        <f t="shared" si="7"/>
        <v>0</v>
      </c>
      <c r="K206" s="82">
        <f>SUMIF('[1]Pool-gardien'!$D$5:$D$127,C206,'[1]Pool-gardien'!$F$5:$F$127)</f>
        <v>14</v>
      </c>
      <c r="L206" s="82">
        <f>SUMIF('[1]Pool-gardien'!$D$5:$D$127,C206,'[1]Pool-gardien'!$G$5:$G$127)</f>
        <v>1</v>
      </c>
      <c r="M206" s="82">
        <f>SUMIF('[1]Pool-gardien'!$D$5:$D$127,C206,'[1]Pool-gardien'!$H$5:$H$127)</f>
        <v>4</v>
      </c>
      <c r="N206" s="92">
        <f>SUMIF('[1]Pool-gardien'!$D$5:$D$127,C206,'[1]Pool-gardien'!$K$5:$K$127)</f>
        <v>45</v>
      </c>
      <c r="O206" s="30">
        <f>SUMIF('[1]Equipes-Pool'!$B$6:$B$35,C206,'[1]Equipes-Pool'!$D$6:$D$35)</f>
        <v>0</v>
      </c>
      <c r="P206" s="30">
        <f>SUMIF('[1]Equipes-Pool'!$B$6:$B$35,C206,'[1]Equipes-Pool'!$E$6:$E$35)</f>
        <v>0</v>
      </c>
      <c r="Q206" s="30">
        <f>SUMIF('[1]Equipes-Pool'!$B$6:$B$35,C206,'[1]Equipes-Pool'!$F$6:$F$35)</f>
        <v>0</v>
      </c>
      <c r="R206" s="91">
        <f>SUMIF('[1]Equipes-Pool'!$B$6:$B$35,C206,'[1]Equipes-Pool'!$G$6:$G$35)</f>
        <v>0</v>
      </c>
    </row>
    <row r="207" spans="1:18" ht="16.5" thickBot="1">
      <c r="A207" s="49" t="s">
        <v>9</v>
      </c>
      <c r="B207" s="50" t="s">
        <v>50</v>
      </c>
      <c r="C207" s="66" t="s">
        <v>290</v>
      </c>
      <c r="D207" s="64" t="s">
        <v>390</v>
      </c>
      <c r="E207" s="59" t="s">
        <v>65</v>
      </c>
      <c r="F207" s="30">
        <f>SUMIF('[1]POOL-joueus'!$D$5:$D$808,C207,'[1]POOL-joueus'!$E$5:$E$808)</f>
        <v>49</v>
      </c>
      <c r="G207" s="30">
        <f>SUMIF('[1]POOL-joueus'!$D$5:$D$808,C207,'[1]POOL-joueus'!$F$5:F$808)</f>
        <v>7</v>
      </c>
      <c r="H207" s="30">
        <f>SUMIF('[1]POOL-joueus'!$D$5:$D$808,C207,'[1]POOL-joueus'!$G$5:G$808)</f>
        <v>6</v>
      </c>
      <c r="I207" s="91">
        <f t="shared" si="6"/>
        <v>13</v>
      </c>
      <c r="J207" s="81">
        <f t="shared" si="7"/>
        <v>0.2653061224489796</v>
      </c>
      <c r="K207" s="30">
        <f>SUMIF('[1]Pool-gardien'!$D$5:$D$127,C207,'[1]Pool-gardien'!$F$5:$F$127)</f>
        <v>0</v>
      </c>
      <c r="L207" s="30">
        <f>SUMIF('[1]Pool-gardien'!$D$5:$D$127,C207,'[1]Pool-gardien'!$G$5:$G$127)</f>
        <v>0</v>
      </c>
      <c r="M207" s="30">
        <f>SUMIF('[1]Pool-gardien'!$D$5:$D$127,C207,'[1]Pool-gardien'!$H$5:$H$127)</f>
        <v>0</v>
      </c>
      <c r="N207" s="91">
        <f>SUMIF('[1]Pool-gardien'!$D$5:$D$127,C207,'[1]Pool-gardien'!$K$5:$K$127)</f>
        <v>0</v>
      </c>
      <c r="O207" s="30">
        <f>SUMIF('[1]Equipes-Pool'!$B$6:$B$35,C207,'[1]Equipes-Pool'!$D$6:$D$35)</f>
        <v>0</v>
      </c>
      <c r="P207" s="30">
        <f>SUMIF('[1]Equipes-Pool'!$B$6:$B$35,C207,'[1]Equipes-Pool'!$E$6:$E$35)</f>
        <v>0</v>
      </c>
      <c r="Q207" s="30">
        <f>SUMIF('[1]Equipes-Pool'!$B$6:$B$35,C207,'[1]Equipes-Pool'!$F$6:$F$35)</f>
        <v>0</v>
      </c>
      <c r="R207" s="91">
        <f>SUMIF('[1]Equipes-Pool'!$B$6:$B$35,C207,'[1]Equipes-Pool'!$G$6:$G$35)</f>
        <v>0</v>
      </c>
    </row>
    <row r="208" spans="1:18" ht="15.75">
      <c r="A208" s="20" t="s">
        <v>33</v>
      </c>
      <c r="B208" s="21" t="s">
        <v>154</v>
      </c>
      <c r="C208" s="67" t="s">
        <v>293</v>
      </c>
      <c r="D208" s="63" t="s">
        <v>403</v>
      </c>
      <c r="E208" s="65" t="s">
        <v>8</v>
      </c>
      <c r="F208" s="84">
        <f>SUMIF('[1]POOL-joueus'!$D$5:$D$808,C208,'[1]POOL-joueus'!$E$5:$E$808)</f>
        <v>24</v>
      </c>
      <c r="G208" s="84">
        <f>SUMIF('[1]POOL-joueus'!$D$5:$D$808,C208,'[1]POOL-joueus'!$F$5:F$808)</f>
        <v>0</v>
      </c>
      <c r="H208" s="84">
        <f>SUMIF('[1]POOL-joueus'!$D$5:$D$808,C208,'[1]POOL-joueus'!$G$5:G$808)</f>
        <v>2</v>
      </c>
      <c r="I208" s="90">
        <f t="shared" si="6"/>
        <v>2</v>
      </c>
      <c r="J208" s="85">
        <f t="shared" si="7"/>
        <v>0.08333333333333333</v>
      </c>
      <c r="K208" s="30">
        <f>SUMIF('[1]Pool-gardien'!$D$5:$D$127,C208,'[1]Pool-gardien'!$F$5:$F$127)</f>
        <v>0</v>
      </c>
      <c r="L208" s="30">
        <f>SUMIF('[1]Pool-gardien'!$D$5:$D$127,C208,'[1]Pool-gardien'!$G$5:$G$127)</f>
        <v>0</v>
      </c>
      <c r="M208" s="30">
        <f>SUMIF('[1]Pool-gardien'!$D$5:$D$127,C208,'[1]Pool-gardien'!$H$5:$H$127)</f>
        <v>0</v>
      </c>
      <c r="N208" s="91">
        <f>SUMIF('[1]Pool-gardien'!$D$5:$D$127,C208,'[1]Pool-gardien'!$K$5:$K$127)</f>
        <v>0</v>
      </c>
      <c r="O208" s="30">
        <f>SUMIF('[1]Equipes-Pool'!$B$6:$B$35,C208,'[1]Equipes-Pool'!$D$6:$D$35)</f>
        <v>0</v>
      </c>
      <c r="P208" s="30">
        <f>SUMIF('[1]Equipes-Pool'!$B$6:$B$35,C208,'[1]Equipes-Pool'!$E$6:$E$35)</f>
        <v>0</v>
      </c>
      <c r="Q208" s="30">
        <f>SUMIF('[1]Equipes-Pool'!$B$6:$B$35,C208,'[1]Equipes-Pool'!$F$6:$F$35)</f>
        <v>0</v>
      </c>
      <c r="R208" s="91">
        <f>SUMIF('[1]Equipes-Pool'!$B$6:$B$35,C208,'[1]Equipes-Pool'!$G$6:$G$35)</f>
        <v>0</v>
      </c>
    </row>
    <row r="209" spans="1:18" ht="15.75">
      <c r="A209" s="12" t="s">
        <v>12</v>
      </c>
      <c r="B209" s="14" t="s">
        <v>25</v>
      </c>
      <c r="C209" s="55" t="s">
        <v>295</v>
      </c>
      <c r="D209" s="62" t="s">
        <v>403</v>
      </c>
      <c r="E209" s="10" t="s">
        <v>16</v>
      </c>
      <c r="F209" s="84">
        <f>SUMIF('[1]POOL-joueus'!$D$5:$D$808,C209,'[1]POOL-joueus'!$E$5:$E$808)</f>
        <v>55</v>
      </c>
      <c r="G209" s="84">
        <f>SUMIF('[1]POOL-joueus'!$D$5:$D$808,C209,'[1]POOL-joueus'!$F$5:F$808)</f>
        <v>14</v>
      </c>
      <c r="H209" s="84">
        <f>SUMIF('[1]POOL-joueus'!$D$5:$D$808,C209,'[1]POOL-joueus'!$G$5:G$808)</f>
        <v>17</v>
      </c>
      <c r="I209" s="90">
        <f t="shared" si="6"/>
        <v>31</v>
      </c>
      <c r="J209" s="85">
        <f t="shared" si="7"/>
        <v>0.5636363636363636</v>
      </c>
      <c r="K209" s="30">
        <f>SUMIF('[1]Pool-gardien'!$D$5:$D$127,C209,'[1]Pool-gardien'!$F$5:$F$127)</f>
        <v>0</v>
      </c>
      <c r="L209" s="30">
        <f>SUMIF('[1]Pool-gardien'!$D$5:$D$127,C209,'[1]Pool-gardien'!$G$5:$G$127)</f>
        <v>0</v>
      </c>
      <c r="M209" s="30">
        <f>SUMIF('[1]Pool-gardien'!$D$5:$D$127,C209,'[1]Pool-gardien'!$H$5:$H$127)</f>
        <v>0</v>
      </c>
      <c r="N209" s="91">
        <f>SUMIF('[1]Pool-gardien'!$D$5:$D$127,C209,'[1]Pool-gardien'!$K$5:$K$127)</f>
        <v>0</v>
      </c>
      <c r="O209" s="30">
        <f>SUMIF('[1]Equipes-Pool'!$B$6:$B$35,C209,'[1]Equipes-Pool'!$D$6:$D$35)</f>
        <v>0</v>
      </c>
      <c r="P209" s="30">
        <f>SUMIF('[1]Equipes-Pool'!$B$6:$B$35,C209,'[1]Equipes-Pool'!$E$6:$E$35)</f>
        <v>0</v>
      </c>
      <c r="Q209" s="30">
        <f>SUMIF('[1]Equipes-Pool'!$B$6:$B$35,C209,'[1]Equipes-Pool'!$F$6:$F$35)</f>
        <v>0</v>
      </c>
      <c r="R209" s="91">
        <f>SUMIF('[1]Equipes-Pool'!$B$6:$B$35,C209,'[1]Equipes-Pool'!$G$6:$G$35)</f>
        <v>0</v>
      </c>
    </row>
    <row r="210" spans="1:18" ht="15.75">
      <c r="A210" s="12" t="s">
        <v>40</v>
      </c>
      <c r="B210" s="14" t="s">
        <v>50</v>
      </c>
      <c r="C210" s="55" t="s">
        <v>297</v>
      </c>
      <c r="D210" s="62" t="s">
        <v>403</v>
      </c>
      <c r="E210" s="10" t="s">
        <v>23</v>
      </c>
      <c r="F210" s="84">
        <f>SUMIF('[1]POOL-joueus'!$D$5:$D$808,C210,'[1]POOL-joueus'!$E$5:$E$808)</f>
        <v>61</v>
      </c>
      <c r="G210" s="84">
        <f>SUMIF('[1]POOL-joueus'!$D$5:$D$808,C210,'[1]POOL-joueus'!$F$5:F$808)</f>
        <v>11</v>
      </c>
      <c r="H210" s="84">
        <f>SUMIF('[1]POOL-joueus'!$D$5:$D$808,C210,'[1]POOL-joueus'!$G$5:G$808)</f>
        <v>21</v>
      </c>
      <c r="I210" s="90">
        <f aca="true" t="shared" si="8" ref="I210:I270">SUM(G210:H210)</f>
        <v>32</v>
      </c>
      <c r="J210" s="85">
        <f aca="true" t="shared" si="9" ref="J210:J270">I210/F210</f>
        <v>0.5245901639344263</v>
      </c>
      <c r="K210" s="30">
        <f>SUMIF('[1]Pool-gardien'!$D$5:$D$127,C210,'[1]Pool-gardien'!$F$5:$F$127)</f>
        <v>0</v>
      </c>
      <c r="L210" s="30">
        <f>SUMIF('[1]Pool-gardien'!$D$5:$D$127,C210,'[1]Pool-gardien'!$G$5:$G$127)</f>
        <v>0</v>
      </c>
      <c r="M210" s="30">
        <f>SUMIF('[1]Pool-gardien'!$D$5:$D$127,C210,'[1]Pool-gardien'!$H$5:$H$127)</f>
        <v>0</v>
      </c>
      <c r="N210" s="91">
        <f>SUMIF('[1]Pool-gardien'!$D$5:$D$127,C210,'[1]Pool-gardien'!$K$5:$K$127)</f>
        <v>0</v>
      </c>
      <c r="O210" s="30">
        <f>SUMIF('[1]Equipes-Pool'!$B$6:$B$35,C210,'[1]Equipes-Pool'!$D$6:$D$35)</f>
        <v>0</v>
      </c>
      <c r="P210" s="30">
        <f>SUMIF('[1]Equipes-Pool'!$B$6:$B$35,C210,'[1]Equipes-Pool'!$E$6:$E$35)</f>
        <v>0</v>
      </c>
      <c r="Q210" s="30">
        <f>SUMIF('[1]Equipes-Pool'!$B$6:$B$35,C210,'[1]Equipes-Pool'!$F$6:$F$35)</f>
        <v>0</v>
      </c>
      <c r="R210" s="91">
        <f>SUMIF('[1]Equipes-Pool'!$B$6:$B$35,C210,'[1]Equipes-Pool'!$G$6:$G$35)</f>
        <v>0</v>
      </c>
    </row>
    <row r="211" spans="1:18" ht="15.75">
      <c r="A211" s="12" t="s">
        <v>40</v>
      </c>
      <c r="B211" s="14" t="s">
        <v>186</v>
      </c>
      <c r="C211" s="55" t="s">
        <v>299</v>
      </c>
      <c r="D211" s="62" t="s">
        <v>403</v>
      </c>
      <c r="E211" s="10" t="s">
        <v>32</v>
      </c>
      <c r="F211" s="84">
        <f>SUMIF('[1]POOL-joueus'!$D$5:$D$808,C211,'[1]POOL-joueus'!$E$5:$E$808)</f>
        <v>53</v>
      </c>
      <c r="G211" s="84">
        <f>SUMIF('[1]POOL-joueus'!$D$5:$D$808,C211,'[1]POOL-joueus'!$F$5:F$808)</f>
        <v>10</v>
      </c>
      <c r="H211" s="84">
        <f>SUMIF('[1]POOL-joueus'!$D$5:$D$808,C211,'[1]POOL-joueus'!$G$5:G$808)</f>
        <v>23</v>
      </c>
      <c r="I211" s="90">
        <f t="shared" si="8"/>
        <v>33</v>
      </c>
      <c r="J211" s="85">
        <f t="shared" si="9"/>
        <v>0.6226415094339622</v>
      </c>
      <c r="K211" s="30">
        <f>SUMIF('[1]Pool-gardien'!$D$5:$D$127,C211,'[1]Pool-gardien'!$F$5:$F$127)</f>
        <v>0</v>
      </c>
      <c r="L211" s="30">
        <f>SUMIF('[1]Pool-gardien'!$D$5:$D$127,C211,'[1]Pool-gardien'!$G$5:$G$127)</f>
        <v>0</v>
      </c>
      <c r="M211" s="30">
        <f>SUMIF('[1]Pool-gardien'!$D$5:$D$127,C211,'[1]Pool-gardien'!$H$5:$H$127)</f>
        <v>0</v>
      </c>
      <c r="N211" s="91">
        <f>SUMIF('[1]Pool-gardien'!$D$5:$D$127,C211,'[1]Pool-gardien'!$K$5:$K$127)</f>
        <v>0</v>
      </c>
      <c r="O211" s="30">
        <f>SUMIF('[1]Equipes-Pool'!$B$6:$B$35,C211,'[1]Equipes-Pool'!$D$6:$D$35)</f>
        <v>0</v>
      </c>
      <c r="P211" s="30">
        <f>SUMIF('[1]Equipes-Pool'!$B$6:$B$35,C211,'[1]Equipes-Pool'!$E$6:$E$35)</f>
        <v>0</v>
      </c>
      <c r="Q211" s="30">
        <f>SUMIF('[1]Equipes-Pool'!$B$6:$B$35,C211,'[1]Equipes-Pool'!$F$6:$F$35)</f>
        <v>0</v>
      </c>
      <c r="R211" s="91">
        <f>SUMIF('[1]Equipes-Pool'!$B$6:$B$35,C211,'[1]Equipes-Pool'!$G$6:$G$35)</f>
        <v>0</v>
      </c>
    </row>
    <row r="212" spans="1:18" ht="15.75">
      <c r="A212" s="12" t="s">
        <v>24</v>
      </c>
      <c r="B212" s="14" t="s">
        <v>109</v>
      </c>
      <c r="C212" s="55" t="s">
        <v>301</v>
      </c>
      <c r="D212" s="62" t="s">
        <v>403</v>
      </c>
      <c r="E212" s="10" t="s">
        <v>39</v>
      </c>
      <c r="F212" s="30">
        <f>SUMIF('[1]POOL-joueus'!$D$5:$D$808,C212,'[1]POOL-joueus'!$E$5:$E$808)</f>
        <v>28</v>
      </c>
      <c r="G212" s="30">
        <f>SUMIF('[1]POOL-joueus'!$D$5:$D$808,C212,'[1]POOL-joueus'!$F$5:F$808)</f>
        <v>3</v>
      </c>
      <c r="H212" s="30">
        <f>SUMIF('[1]POOL-joueus'!$D$5:$D$808,C212,'[1]POOL-joueus'!$G$5:G$808)</f>
        <v>7</v>
      </c>
      <c r="I212" s="91">
        <f t="shared" si="8"/>
        <v>10</v>
      </c>
      <c r="J212" s="81">
        <f t="shared" si="9"/>
        <v>0.35714285714285715</v>
      </c>
      <c r="K212" s="30">
        <f>SUMIF('[1]Pool-gardien'!$D$5:$D$127,C212,'[1]Pool-gardien'!$F$5:$F$127)</f>
        <v>0</v>
      </c>
      <c r="L212" s="30">
        <f>SUMIF('[1]Pool-gardien'!$D$5:$D$127,C212,'[1]Pool-gardien'!$G$5:$G$127)</f>
        <v>0</v>
      </c>
      <c r="M212" s="30">
        <f>SUMIF('[1]Pool-gardien'!$D$5:$D$127,C212,'[1]Pool-gardien'!$H$5:$H$127)</f>
        <v>0</v>
      </c>
      <c r="N212" s="91">
        <f>SUMIF('[1]Pool-gardien'!$D$5:$D$127,C212,'[1]Pool-gardien'!$K$5:$K$127)</f>
        <v>0</v>
      </c>
      <c r="O212" s="30">
        <f>SUMIF('[1]Equipes-Pool'!$B$6:$B$35,C212,'[1]Equipes-Pool'!$D$6:$D$35)</f>
        <v>0</v>
      </c>
      <c r="P212" s="30">
        <f>SUMIF('[1]Equipes-Pool'!$B$6:$B$35,C212,'[1]Equipes-Pool'!$E$6:$E$35)</f>
        <v>0</v>
      </c>
      <c r="Q212" s="30">
        <f>SUMIF('[1]Equipes-Pool'!$B$6:$B$35,C212,'[1]Equipes-Pool'!$F$6:$F$35)</f>
        <v>0</v>
      </c>
      <c r="R212" s="91">
        <f>SUMIF('[1]Equipes-Pool'!$B$6:$B$35,C212,'[1]Equipes-Pool'!$G$6:$G$35)</f>
        <v>0</v>
      </c>
    </row>
    <row r="213" spans="1:18" ht="15.75">
      <c r="A213" s="12" t="s">
        <v>24</v>
      </c>
      <c r="B213" s="14" t="s">
        <v>97</v>
      </c>
      <c r="C213" s="55" t="s">
        <v>303</v>
      </c>
      <c r="D213" s="62" t="s">
        <v>403</v>
      </c>
      <c r="E213" s="10" t="s">
        <v>45</v>
      </c>
      <c r="F213" s="30">
        <f>SUMIF('[1]POOL-joueus'!$D$5:$D$808,C213,'[1]POOL-joueus'!$E$5:$E$808)</f>
        <v>37</v>
      </c>
      <c r="G213" s="30">
        <f>SUMIF('[1]POOL-joueus'!$D$5:$D$808,C213,'[1]POOL-joueus'!$F$5:F$808)</f>
        <v>5</v>
      </c>
      <c r="H213" s="30">
        <f>SUMIF('[1]POOL-joueus'!$D$5:$D$808,C213,'[1]POOL-joueus'!$G$5:G$808)</f>
        <v>6</v>
      </c>
      <c r="I213" s="91">
        <f t="shared" si="8"/>
        <v>11</v>
      </c>
      <c r="J213" s="81">
        <f t="shared" si="9"/>
        <v>0.2972972972972973</v>
      </c>
      <c r="K213" s="30">
        <f>SUMIF('[1]Pool-gardien'!$D$5:$D$127,C213,'[1]Pool-gardien'!$F$5:$F$127)</f>
        <v>0</v>
      </c>
      <c r="L213" s="30">
        <f>SUMIF('[1]Pool-gardien'!$D$5:$D$127,C213,'[1]Pool-gardien'!$G$5:$G$127)</f>
        <v>0</v>
      </c>
      <c r="M213" s="30">
        <f>SUMIF('[1]Pool-gardien'!$D$5:$D$127,C213,'[1]Pool-gardien'!$H$5:$H$127)</f>
        <v>0</v>
      </c>
      <c r="N213" s="91">
        <f>SUMIF('[1]Pool-gardien'!$D$5:$D$127,C213,'[1]Pool-gardien'!$K$5:$K$127)</f>
        <v>0</v>
      </c>
      <c r="O213" s="30">
        <f>SUMIF('[1]Equipes-Pool'!$B$6:$B$35,C213,'[1]Equipes-Pool'!$D$6:$D$35)</f>
        <v>0</v>
      </c>
      <c r="P213" s="30">
        <f>SUMIF('[1]Equipes-Pool'!$B$6:$B$35,C213,'[1]Equipes-Pool'!$E$6:$E$35)</f>
        <v>0</v>
      </c>
      <c r="Q213" s="30">
        <f>SUMIF('[1]Equipes-Pool'!$B$6:$B$35,C213,'[1]Equipes-Pool'!$F$6:$F$35)</f>
        <v>0</v>
      </c>
      <c r="R213" s="91">
        <f>SUMIF('[1]Equipes-Pool'!$B$6:$B$35,C213,'[1]Equipes-Pool'!$G$6:$G$35)</f>
        <v>0</v>
      </c>
    </row>
    <row r="214" spans="1:18" ht="15.75">
      <c r="A214" s="12" t="s">
        <v>12</v>
      </c>
      <c r="B214" s="14" t="s">
        <v>97</v>
      </c>
      <c r="C214" s="55" t="s">
        <v>305</v>
      </c>
      <c r="D214" s="62" t="s">
        <v>403</v>
      </c>
      <c r="E214" s="10" t="s">
        <v>52</v>
      </c>
      <c r="F214" s="84">
        <f>SUMIF('[1]POOL-joueus'!$D$5:$D$808,C214,'[1]POOL-joueus'!$E$5:$E$808)</f>
        <v>65</v>
      </c>
      <c r="G214" s="84">
        <f>SUMIF('[1]POOL-joueus'!$D$5:$D$808,C214,'[1]POOL-joueus'!$F$5:F$808)</f>
        <v>4</v>
      </c>
      <c r="H214" s="84">
        <f>SUMIF('[1]POOL-joueus'!$D$5:$D$808,C214,'[1]POOL-joueus'!$G$5:G$808)</f>
        <v>12</v>
      </c>
      <c r="I214" s="90">
        <f t="shared" si="8"/>
        <v>16</v>
      </c>
      <c r="J214" s="85">
        <f t="shared" si="9"/>
        <v>0.24615384615384617</v>
      </c>
      <c r="K214" s="30">
        <f>SUMIF('[1]Pool-gardien'!$D$5:$D$127,C214,'[1]Pool-gardien'!$F$5:$F$127)</f>
        <v>0</v>
      </c>
      <c r="L214" s="30">
        <f>SUMIF('[1]Pool-gardien'!$D$5:$D$127,C214,'[1]Pool-gardien'!$G$5:$G$127)</f>
        <v>0</v>
      </c>
      <c r="M214" s="30">
        <f>SUMIF('[1]Pool-gardien'!$D$5:$D$127,C214,'[1]Pool-gardien'!$H$5:$H$127)</f>
        <v>0</v>
      </c>
      <c r="N214" s="91">
        <f>SUMIF('[1]Pool-gardien'!$D$5:$D$127,C214,'[1]Pool-gardien'!$K$5:$K$127)</f>
        <v>0</v>
      </c>
      <c r="O214" s="30">
        <f>SUMIF('[1]Equipes-Pool'!$B$6:$B$35,C214,'[1]Equipes-Pool'!$D$6:$D$35)</f>
        <v>0</v>
      </c>
      <c r="P214" s="30">
        <f>SUMIF('[1]Equipes-Pool'!$B$6:$B$35,C214,'[1]Equipes-Pool'!$E$6:$E$35)</f>
        <v>0</v>
      </c>
      <c r="Q214" s="30">
        <f>SUMIF('[1]Equipes-Pool'!$B$6:$B$35,C214,'[1]Equipes-Pool'!$F$6:$F$35)</f>
        <v>0</v>
      </c>
      <c r="R214" s="91">
        <f>SUMIF('[1]Equipes-Pool'!$B$6:$B$35,C214,'[1]Equipes-Pool'!$G$6:$G$35)</f>
        <v>0</v>
      </c>
    </row>
    <row r="215" spans="1:18" ht="15.75">
      <c r="A215" s="12" t="s">
        <v>12</v>
      </c>
      <c r="B215" s="14" t="s">
        <v>91</v>
      </c>
      <c r="C215" s="55" t="s">
        <v>307</v>
      </c>
      <c r="D215" s="62" t="s">
        <v>403</v>
      </c>
      <c r="E215" s="10" t="s">
        <v>27</v>
      </c>
      <c r="F215" s="84">
        <f>SUMIF('[1]POOL-joueus'!$D$5:$D$808,C215,'[1]POOL-joueus'!$E$5:$E$808)</f>
        <v>57</v>
      </c>
      <c r="G215" s="84">
        <f>SUMIF('[1]POOL-joueus'!$D$5:$D$808,C215,'[1]POOL-joueus'!$F$5:F$808)</f>
        <v>9</v>
      </c>
      <c r="H215" s="84">
        <f>SUMIF('[1]POOL-joueus'!$D$5:$D$808,C215,'[1]POOL-joueus'!$G$5:G$808)</f>
        <v>11</v>
      </c>
      <c r="I215" s="90">
        <f t="shared" si="8"/>
        <v>20</v>
      </c>
      <c r="J215" s="85">
        <f t="shared" si="9"/>
        <v>0.3508771929824561</v>
      </c>
      <c r="K215" s="30">
        <f>SUMIF('[1]Pool-gardien'!$D$5:$D$127,C215,'[1]Pool-gardien'!$F$5:$F$127)</f>
        <v>0</v>
      </c>
      <c r="L215" s="30">
        <f>SUMIF('[1]Pool-gardien'!$D$5:$D$127,C215,'[1]Pool-gardien'!$G$5:$G$127)</f>
        <v>0</v>
      </c>
      <c r="M215" s="30">
        <f>SUMIF('[1]Pool-gardien'!$D$5:$D$127,C215,'[1]Pool-gardien'!$H$5:$H$127)</f>
        <v>0</v>
      </c>
      <c r="N215" s="91">
        <f>SUMIF('[1]Pool-gardien'!$D$5:$D$127,C215,'[1]Pool-gardien'!$K$5:$K$127)</f>
        <v>0</v>
      </c>
      <c r="O215" s="30">
        <f>SUMIF('[1]Equipes-Pool'!$B$6:$B$35,C215,'[1]Equipes-Pool'!$D$6:$D$35)</f>
        <v>0</v>
      </c>
      <c r="P215" s="30">
        <f>SUMIF('[1]Equipes-Pool'!$B$6:$B$35,C215,'[1]Equipes-Pool'!$E$6:$E$35)</f>
        <v>0</v>
      </c>
      <c r="Q215" s="30">
        <f>SUMIF('[1]Equipes-Pool'!$B$6:$B$35,C215,'[1]Equipes-Pool'!$F$6:$F$35)</f>
        <v>0</v>
      </c>
      <c r="R215" s="91">
        <f>SUMIF('[1]Equipes-Pool'!$B$6:$B$35,C215,'[1]Equipes-Pool'!$G$6:$G$35)</f>
        <v>0</v>
      </c>
    </row>
    <row r="216" spans="1:18" ht="15.75">
      <c r="A216" s="14" t="s">
        <v>24</v>
      </c>
      <c r="B216" s="29" t="s">
        <v>78</v>
      </c>
      <c r="C216" s="55" t="s">
        <v>309</v>
      </c>
      <c r="D216" s="62" t="s">
        <v>403</v>
      </c>
      <c r="E216" s="10" t="s">
        <v>62</v>
      </c>
      <c r="F216" s="30">
        <f>SUMIF('[1]POOL-joueus'!$D$5:$D$808,C216,'[1]POOL-joueus'!$E$5:$E$808)</f>
        <v>55</v>
      </c>
      <c r="G216" s="30">
        <f>SUMIF('[1]POOL-joueus'!$D$5:$D$808,C216,'[1]POOL-joueus'!$F$5:F$808)</f>
        <v>9</v>
      </c>
      <c r="H216" s="30">
        <f>SUMIF('[1]POOL-joueus'!$D$5:$D$808,C216,'[1]POOL-joueus'!$G$5:G$808)</f>
        <v>14</v>
      </c>
      <c r="I216" s="91">
        <f t="shared" si="8"/>
        <v>23</v>
      </c>
      <c r="J216" s="81">
        <f t="shared" si="9"/>
        <v>0.41818181818181815</v>
      </c>
      <c r="K216" s="30">
        <f>SUMIF('[1]Pool-gardien'!$D$5:$D$127,C216,'[1]Pool-gardien'!$F$5:$F$127)</f>
        <v>0</v>
      </c>
      <c r="L216" s="30">
        <f>SUMIF('[1]Pool-gardien'!$D$5:$D$127,C216,'[1]Pool-gardien'!$G$5:$G$127)</f>
        <v>0</v>
      </c>
      <c r="M216" s="30">
        <f>SUMIF('[1]Pool-gardien'!$D$5:$D$127,C216,'[1]Pool-gardien'!$H$5:$H$127)</f>
        <v>0</v>
      </c>
      <c r="N216" s="91">
        <f>SUMIF('[1]Pool-gardien'!$D$5:$D$127,C216,'[1]Pool-gardien'!$K$5:$K$127)</f>
        <v>0</v>
      </c>
      <c r="O216" s="30">
        <f>SUMIF('[1]Equipes-Pool'!$B$6:$B$35,C216,'[1]Equipes-Pool'!$D$6:$D$35)</f>
        <v>0</v>
      </c>
      <c r="P216" s="30">
        <f>SUMIF('[1]Equipes-Pool'!$B$6:$B$35,C216,'[1]Equipes-Pool'!$E$6:$E$35)</f>
        <v>0</v>
      </c>
      <c r="Q216" s="30">
        <f>SUMIF('[1]Equipes-Pool'!$B$6:$B$35,C216,'[1]Equipes-Pool'!$F$6:$F$35)</f>
        <v>0</v>
      </c>
      <c r="R216" s="91">
        <f>SUMIF('[1]Equipes-Pool'!$B$6:$B$35,C216,'[1]Equipes-Pool'!$G$6:$G$35)</f>
        <v>0</v>
      </c>
    </row>
    <row r="217" spans="1:18" ht="16.5" thickBot="1">
      <c r="A217" s="49" t="s">
        <v>33</v>
      </c>
      <c r="B217" s="50" t="s">
        <v>89</v>
      </c>
      <c r="C217" s="66" t="s">
        <v>311</v>
      </c>
      <c r="D217" s="64" t="s">
        <v>403</v>
      </c>
      <c r="E217" s="59" t="s">
        <v>65</v>
      </c>
      <c r="F217" s="84">
        <f>SUMIF('[1]POOL-joueus'!$D$5:$D$808,C217,'[1]POOL-joueus'!$E$5:$E$808)</f>
        <v>25</v>
      </c>
      <c r="G217" s="84">
        <f>SUMIF('[1]POOL-joueus'!$D$5:$D$808,C217,'[1]POOL-joueus'!$F$5:F$808)</f>
        <v>0</v>
      </c>
      <c r="H217" s="84">
        <f>SUMIF('[1]POOL-joueus'!$D$5:$D$808,C217,'[1]POOL-joueus'!$G$5:G$808)</f>
        <v>2</v>
      </c>
      <c r="I217" s="90">
        <f t="shared" si="8"/>
        <v>2</v>
      </c>
      <c r="J217" s="85">
        <f t="shared" si="9"/>
        <v>0.08</v>
      </c>
      <c r="K217" s="30">
        <f>SUMIF('[1]Pool-gardien'!$D$5:$D$127,C217,'[1]Pool-gardien'!$F$5:$F$127)</f>
        <v>0</v>
      </c>
      <c r="L217" s="30">
        <f>SUMIF('[1]Pool-gardien'!$D$5:$D$127,C217,'[1]Pool-gardien'!$G$5:$G$127)</f>
        <v>0</v>
      </c>
      <c r="M217" s="30">
        <f>SUMIF('[1]Pool-gardien'!$D$5:$D$127,C217,'[1]Pool-gardien'!$H$5:$H$127)</f>
        <v>0</v>
      </c>
      <c r="N217" s="91">
        <f>SUMIF('[1]Pool-gardien'!$D$5:$D$127,C217,'[1]Pool-gardien'!$K$5:$K$127)</f>
        <v>0</v>
      </c>
      <c r="O217" s="30">
        <f>SUMIF('[1]Equipes-Pool'!$B$6:$B$35,C217,'[1]Equipes-Pool'!$D$6:$D$35)</f>
        <v>0</v>
      </c>
      <c r="P217" s="30">
        <f>SUMIF('[1]Equipes-Pool'!$B$6:$B$35,C217,'[1]Equipes-Pool'!$E$6:$E$35)</f>
        <v>0</v>
      </c>
      <c r="Q217" s="30">
        <f>SUMIF('[1]Equipes-Pool'!$B$6:$B$35,C217,'[1]Equipes-Pool'!$F$6:$F$35)</f>
        <v>0</v>
      </c>
      <c r="R217" s="91">
        <f>SUMIF('[1]Equipes-Pool'!$B$6:$B$35,C217,'[1]Equipes-Pool'!$G$6:$G$35)</f>
        <v>0</v>
      </c>
    </row>
    <row r="218" spans="1:18" ht="15.75">
      <c r="A218" s="20" t="s">
        <v>12</v>
      </c>
      <c r="B218" s="21" t="s">
        <v>105</v>
      </c>
      <c r="C218" s="67" t="s">
        <v>294</v>
      </c>
      <c r="D218" s="63" t="s">
        <v>392</v>
      </c>
      <c r="E218" s="65" t="s">
        <v>8</v>
      </c>
      <c r="F218" s="84">
        <f>SUMIF('[1]POOL-joueus'!$D$5:$D$808,C218,'[1]POOL-joueus'!$E$5:$E$808)</f>
        <v>33</v>
      </c>
      <c r="G218" s="84">
        <f>SUMIF('[1]POOL-joueus'!$D$5:$D$808,C218,'[1]POOL-joueus'!$F$5:F$808)</f>
        <v>3</v>
      </c>
      <c r="H218" s="84">
        <f>SUMIF('[1]POOL-joueus'!$D$5:$D$808,C218,'[1]POOL-joueus'!$G$5:G$808)</f>
        <v>7</v>
      </c>
      <c r="I218" s="90">
        <f t="shared" si="8"/>
        <v>10</v>
      </c>
      <c r="J218" s="85">
        <f t="shared" si="9"/>
        <v>0.30303030303030304</v>
      </c>
      <c r="K218" s="30">
        <f>SUMIF('[1]Pool-gardien'!$D$5:$D$127,C218,'[1]Pool-gardien'!$F$5:$F$127)</f>
        <v>0</v>
      </c>
      <c r="L218" s="30">
        <f>SUMIF('[1]Pool-gardien'!$D$5:$D$127,C218,'[1]Pool-gardien'!$G$5:$G$127)</f>
        <v>0</v>
      </c>
      <c r="M218" s="30">
        <f>SUMIF('[1]Pool-gardien'!$D$5:$D$127,C218,'[1]Pool-gardien'!$H$5:$H$127)</f>
        <v>0</v>
      </c>
      <c r="N218" s="91">
        <f>SUMIF('[1]Pool-gardien'!$D$5:$D$127,C218,'[1]Pool-gardien'!$K$5:$K$127)</f>
        <v>0</v>
      </c>
      <c r="O218" s="30">
        <f>SUMIF('[1]Equipes-Pool'!$B$6:$B$35,C218,'[1]Equipes-Pool'!$D$6:$D$35)</f>
        <v>0</v>
      </c>
      <c r="P218" s="30">
        <f>SUMIF('[1]Equipes-Pool'!$B$6:$B$35,C218,'[1]Equipes-Pool'!$E$6:$E$35)</f>
        <v>0</v>
      </c>
      <c r="Q218" s="30">
        <f>SUMIF('[1]Equipes-Pool'!$B$6:$B$35,C218,'[1]Equipes-Pool'!$F$6:$F$35)</f>
        <v>0</v>
      </c>
      <c r="R218" s="91">
        <f>SUMIF('[1]Equipes-Pool'!$B$6:$B$35,C218,'[1]Equipes-Pool'!$G$6:$G$35)</f>
        <v>0</v>
      </c>
    </row>
    <row r="219" spans="1:18" ht="15.75">
      <c r="A219" s="12" t="s">
        <v>40</v>
      </c>
      <c r="B219" s="14" t="s">
        <v>13</v>
      </c>
      <c r="C219" s="55" t="s">
        <v>296</v>
      </c>
      <c r="D219" s="62" t="s">
        <v>392</v>
      </c>
      <c r="E219" s="10" t="s">
        <v>16</v>
      </c>
      <c r="F219" s="84">
        <f>SUMIF('[1]POOL-joueus'!$D$5:$D$808,C219,'[1]POOL-joueus'!$E$5:$E$808)</f>
        <v>6</v>
      </c>
      <c r="G219" s="84">
        <f>SUMIF('[1]POOL-joueus'!$D$5:$D$808,C219,'[1]POOL-joueus'!$F$5:F$808)</f>
        <v>0</v>
      </c>
      <c r="H219" s="84">
        <f>SUMIF('[1]POOL-joueus'!$D$5:$D$808,C219,'[1]POOL-joueus'!$G$5:G$808)</f>
        <v>1</v>
      </c>
      <c r="I219" s="90">
        <f t="shared" si="8"/>
        <v>1</v>
      </c>
      <c r="J219" s="85">
        <f t="shared" si="9"/>
        <v>0.16666666666666666</v>
      </c>
      <c r="K219" s="30">
        <f>SUMIF('[1]Pool-gardien'!$D$5:$D$127,C219,'[1]Pool-gardien'!$F$5:$F$127)</f>
        <v>0</v>
      </c>
      <c r="L219" s="30">
        <f>SUMIF('[1]Pool-gardien'!$D$5:$D$127,C219,'[1]Pool-gardien'!$G$5:$G$127)</f>
        <v>0</v>
      </c>
      <c r="M219" s="30">
        <f>SUMIF('[1]Pool-gardien'!$D$5:$D$127,C219,'[1]Pool-gardien'!$H$5:$H$127)</f>
        <v>0</v>
      </c>
      <c r="N219" s="91">
        <f>SUMIF('[1]Pool-gardien'!$D$5:$D$127,C219,'[1]Pool-gardien'!$K$5:$K$127)</f>
        <v>0</v>
      </c>
      <c r="O219" s="30">
        <f>SUMIF('[1]Equipes-Pool'!$B$6:$B$35,C219,'[1]Equipes-Pool'!$D$6:$D$35)</f>
        <v>0</v>
      </c>
      <c r="P219" s="30">
        <f>SUMIF('[1]Equipes-Pool'!$B$6:$B$35,C219,'[1]Equipes-Pool'!$E$6:$E$35)</f>
        <v>0</v>
      </c>
      <c r="Q219" s="30">
        <f>SUMIF('[1]Equipes-Pool'!$B$6:$B$35,C219,'[1]Equipes-Pool'!$F$6:$F$35)</f>
        <v>0</v>
      </c>
      <c r="R219" s="91">
        <f>SUMIF('[1]Equipes-Pool'!$B$6:$B$35,C219,'[1]Equipes-Pool'!$G$6:$G$35)</f>
        <v>0</v>
      </c>
    </row>
    <row r="220" spans="1:18" ht="15.75">
      <c r="A220" s="12" t="s">
        <v>33</v>
      </c>
      <c r="B220" s="14" t="s">
        <v>50</v>
      </c>
      <c r="C220" s="55" t="s">
        <v>298</v>
      </c>
      <c r="D220" s="62" t="s">
        <v>392</v>
      </c>
      <c r="E220" s="10" t="s">
        <v>23</v>
      </c>
      <c r="F220" s="84">
        <f>SUMIF('[1]POOL-joueus'!$D$5:$D$808,C220,'[1]POOL-joueus'!$E$5:$E$808)</f>
        <v>9</v>
      </c>
      <c r="G220" s="84">
        <f>SUMIF('[1]POOL-joueus'!$D$5:$D$808,C220,'[1]POOL-joueus'!$F$5:F$808)</f>
        <v>0</v>
      </c>
      <c r="H220" s="84">
        <f>SUMIF('[1]POOL-joueus'!$D$5:$D$808,C220,'[1]POOL-joueus'!$G$5:G$808)</f>
        <v>0</v>
      </c>
      <c r="I220" s="90">
        <f t="shared" si="8"/>
        <v>0</v>
      </c>
      <c r="J220" s="85">
        <f t="shared" si="9"/>
        <v>0</v>
      </c>
      <c r="K220" s="30">
        <f>SUMIF('[1]Pool-gardien'!$D$5:$D$127,C220,'[1]Pool-gardien'!$F$5:$F$127)</f>
        <v>0</v>
      </c>
      <c r="L220" s="30">
        <f>SUMIF('[1]Pool-gardien'!$D$5:$D$127,C220,'[1]Pool-gardien'!$G$5:$G$127)</f>
        <v>0</v>
      </c>
      <c r="M220" s="30">
        <f>SUMIF('[1]Pool-gardien'!$D$5:$D$127,C220,'[1]Pool-gardien'!$H$5:$H$127)</f>
        <v>0</v>
      </c>
      <c r="N220" s="91">
        <f>SUMIF('[1]Pool-gardien'!$D$5:$D$127,C220,'[1]Pool-gardien'!$K$5:$K$127)</f>
        <v>0</v>
      </c>
      <c r="O220" s="30">
        <f>SUMIF('[1]Equipes-Pool'!$B$6:$B$35,C220,'[1]Equipes-Pool'!$D$6:$D$35)</f>
        <v>0</v>
      </c>
      <c r="P220" s="30">
        <f>SUMIF('[1]Equipes-Pool'!$B$6:$B$35,C220,'[1]Equipes-Pool'!$E$6:$E$35)</f>
        <v>0</v>
      </c>
      <c r="Q220" s="30">
        <f>SUMIF('[1]Equipes-Pool'!$B$6:$B$35,C220,'[1]Equipes-Pool'!$F$6:$F$35)</f>
        <v>0</v>
      </c>
      <c r="R220" s="91">
        <f>SUMIF('[1]Equipes-Pool'!$B$6:$B$35,C220,'[1]Equipes-Pool'!$G$6:$G$35)</f>
        <v>0</v>
      </c>
    </row>
    <row r="221" spans="1:18" ht="15.75">
      <c r="A221" s="12" t="s">
        <v>19</v>
      </c>
      <c r="B221" s="14" t="s">
        <v>41</v>
      </c>
      <c r="C221" s="55" t="s">
        <v>300</v>
      </c>
      <c r="D221" s="62" t="s">
        <v>392</v>
      </c>
      <c r="E221" s="10" t="s">
        <v>32</v>
      </c>
      <c r="F221" s="30">
        <f>SUMIF('[1]POOL-joueus'!$D$5:$D$808,C221,'[1]POOL-joueus'!$E$5:$E$808)</f>
        <v>30</v>
      </c>
      <c r="G221" s="30">
        <f>SUMIF('[1]POOL-joueus'!$D$5:$D$808,C221,'[1]POOL-joueus'!$F$5:F$808)</f>
        <v>1</v>
      </c>
      <c r="H221" s="30">
        <f>SUMIF('[1]POOL-joueus'!$D$5:$D$808,C221,'[1]POOL-joueus'!$G$5:G$808)</f>
        <v>4</v>
      </c>
      <c r="I221" s="91">
        <f t="shared" si="8"/>
        <v>5</v>
      </c>
      <c r="J221" s="81">
        <f t="shared" si="9"/>
        <v>0.16666666666666666</v>
      </c>
      <c r="K221" s="30">
        <f>SUMIF('[1]Pool-gardien'!$D$5:$D$127,C221,'[1]Pool-gardien'!$F$5:$F$127)</f>
        <v>0</v>
      </c>
      <c r="L221" s="30">
        <f>SUMIF('[1]Pool-gardien'!$D$5:$D$127,C221,'[1]Pool-gardien'!$G$5:$G$127)</f>
        <v>0</v>
      </c>
      <c r="M221" s="30">
        <f>SUMIF('[1]Pool-gardien'!$D$5:$D$127,C221,'[1]Pool-gardien'!$H$5:$H$127)</f>
        <v>0</v>
      </c>
      <c r="N221" s="91">
        <f>SUMIF('[1]Pool-gardien'!$D$5:$D$127,C221,'[1]Pool-gardien'!$K$5:$K$127)</f>
        <v>0</v>
      </c>
      <c r="O221" s="30">
        <f>SUMIF('[1]Equipes-Pool'!$B$6:$B$35,C221,'[1]Equipes-Pool'!$D$6:$D$35)</f>
        <v>0</v>
      </c>
      <c r="P221" s="30">
        <f>SUMIF('[1]Equipes-Pool'!$B$6:$B$35,C221,'[1]Equipes-Pool'!$E$6:$E$35)</f>
        <v>0</v>
      </c>
      <c r="Q221" s="30">
        <f>SUMIF('[1]Equipes-Pool'!$B$6:$B$35,C221,'[1]Equipes-Pool'!$F$6:$F$35)</f>
        <v>0</v>
      </c>
      <c r="R221" s="91">
        <f>SUMIF('[1]Equipes-Pool'!$B$6:$B$35,C221,'[1]Equipes-Pool'!$G$6:$G$35)</f>
        <v>0</v>
      </c>
    </row>
    <row r="222" spans="1:18" ht="15.75">
      <c r="A222" s="18" t="s">
        <v>28</v>
      </c>
      <c r="B222" s="18" t="s">
        <v>103</v>
      </c>
      <c r="C222" s="70" t="s">
        <v>302</v>
      </c>
      <c r="D222" s="62" t="s">
        <v>392</v>
      </c>
      <c r="E222" s="10" t="s">
        <v>39</v>
      </c>
      <c r="F222" s="82">
        <f>SUMIF('[1]Pool-gardien'!$D$5:$D$127,C222,'[1]Pool-gardien'!$E$5:$E$127)</f>
        <v>24</v>
      </c>
      <c r="G222" s="82">
        <f>SUMIF('[1]Pool-gardien'!$D$5:$D$127,C222,'[1]Pool-gardien'!$I$5:$I$127)</f>
        <v>0</v>
      </c>
      <c r="H222" s="82">
        <f>SUMIF('[1]Pool-gardien'!$D$5:$D$127,C222,'[1]Pool-gardien'!$J$5:$J$127)</f>
        <v>0</v>
      </c>
      <c r="I222" s="92">
        <f t="shared" si="8"/>
        <v>0</v>
      </c>
      <c r="J222" s="81">
        <f t="shared" si="9"/>
        <v>0</v>
      </c>
      <c r="K222" s="82">
        <f>SUMIF('[1]Pool-gardien'!$D$5:$D$127,C222,'[1]Pool-gardien'!$F$5:$F$127)</f>
        <v>14</v>
      </c>
      <c r="L222" s="82">
        <f>SUMIF('[1]Pool-gardien'!$D$5:$D$127,C222,'[1]Pool-gardien'!$G$5:$G$127)</f>
        <v>3</v>
      </c>
      <c r="M222" s="82">
        <f>SUMIF('[1]Pool-gardien'!$D$5:$D$127,C222,'[1]Pool-gardien'!$H$5:$H$127)</f>
        <v>1</v>
      </c>
      <c r="N222" s="92">
        <f>SUMIF('[1]Pool-gardien'!$D$5:$D$127,C222,'[1]Pool-gardien'!$K$5:$K$127)</f>
        <v>35</v>
      </c>
      <c r="O222" s="30">
        <f>SUMIF('[1]Equipes-Pool'!$B$6:$B$35,C222,'[1]Equipes-Pool'!$D$6:$D$35)</f>
        <v>0</v>
      </c>
      <c r="P222" s="30">
        <f>SUMIF('[1]Equipes-Pool'!$B$6:$B$35,C222,'[1]Equipes-Pool'!$E$6:$E$35)</f>
        <v>0</v>
      </c>
      <c r="Q222" s="30">
        <f>SUMIF('[1]Equipes-Pool'!$B$6:$B$35,C222,'[1]Equipes-Pool'!$F$6:$F$35)</f>
        <v>0</v>
      </c>
      <c r="R222" s="91">
        <f>SUMIF('[1]Equipes-Pool'!$B$6:$B$35,C222,'[1]Equipes-Pool'!$G$6:$G$35)</f>
        <v>0</v>
      </c>
    </row>
    <row r="223" spans="1:18" ht="15.75">
      <c r="A223" s="12" t="s">
        <v>40</v>
      </c>
      <c r="B223" s="14" t="s">
        <v>78</v>
      </c>
      <c r="C223" s="55" t="s">
        <v>304</v>
      </c>
      <c r="D223" s="62" t="s">
        <v>392</v>
      </c>
      <c r="E223" s="10" t="s">
        <v>45</v>
      </c>
      <c r="F223" s="84">
        <f>SUMIF('[1]POOL-joueus'!$D$5:$D$808,C223,'[1]POOL-joueus'!$E$5:$E$808)</f>
        <v>64</v>
      </c>
      <c r="G223" s="84">
        <f>SUMIF('[1]POOL-joueus'!$D$5:$D$808,C223,'[1]POOL-joueus'!$F$5:F$808)</f>
        <v>15</v>
      </c>
      <c r="H223" s="84">
        <f>SUMIF('[1]POOL-joueus'!$D$5:$D$808,C223,'[1]POOL-joueus'!$G$5:G$808)</f>
        <v>24</v>
      </c>
      <c r="I223" s="90">
        <f t="shared" si="8"/>
        <v>39</v>
      </c>
      <c r="J223" s="85">
        <f t="shared" si="9"/>
        <v>0.609375</v>
      </c>
      <c r="K223" s="30">
        <f>SUMIF('[1]Pool-gardien'!$D$5:$D$127,C223,'[1]Pool-gardien'!$F$5:$F$127)</f>
        <v>0</v>
      </c>
      <c r="L223" s="30">
        <f>SUMIF('[1]Pool-gardien'!$D$5:$D$127,C223,'[1]Pool-gardien'!$G$5:$G$127)</f>
        <v>0</v>
      </c>
      <c r="M223" s="30">
        <f>SUMIF('[1]Pool-gardien'!$D$5:$D$127,C223,'[1]Pool-gardien'!$H$5:$H$127)</f>
        <v>0</v>
      </c>
      <c r="N223" s="91">
        <f>SUMIF('[1]Pool-gardien'!$D$5:$D$127,C223,'[1]Pool-gardien'!$K$5:$K$127)</f>
        <v>0</v>
      </c>
      <c r="O223" s="30">
        <f>SUMIF('[1]Equipes-Pool'!$B$6:$B$35,C223,'[1]Equipes-Pool'!$D$6:$D$35)</f>
        <v>0</v>
      </c>
      <c r="P223" s="30">
        <f>SUMIF('[1]Equipes-Pool'!$B$6:$B$35,C223,'[1]Equipes-Pool'!$E$6:$E$35)</f>
        <v>0</v>
      </c>
      <c r="Q223" s="30">
        <f>SUMIF('[1]Equipes-Pool'!$B$6:$B$35,C223,'[1]Equipes-Pool'!$F$6:$F$35)</f>
        <v>0</v>
      </c>
      <c r="R223" s="91">
        <f>SUMIF('[1]Equipes-Pool'!$B$6:$B$35,C223,'[1]Equipes-Pool'!$G$6:$G$35)</f>
        <v>0</v>
      </c>
    </row>
    <row r="224" spans="1:18" ht="15.75">
      <c r="A224" s="12" t="s">
        <v>33</v>
      </c>
      <c r="B224" s="14" t="s">
        <v>97</v>
      </c>
      <c r="C224" s="55" t="s">
        <v>306</v>
      </c>
      <c r="D224" s="62" t="s">
        <v>392</v>
      </c>
      <c r="E224" s="10" t="s">
        <v>52</v>
      </c>
      <c r="F224" s="84">
        <f>SUMIF('[1]POOL-joueus'!$D$5:$D$808,C224,'[1]POOL-joueus'!$E$5:$E$808)</f>
        <v>55</v>
      </c>
      <c r="G224" s="84">
        <f>SUMIF('[1]POOL-joueus'!$D$5:$D$808,C224,'[1]POOL-joueus'!$F$5:F$808)</f>
        <v>9</v>
      </c>
      <c r="H224" s="84">
        <f>SUMIF('[1]POOL-joueus'!$D$5:$D$808,C224,'[1]POOL-joueus'!$G$5:G$808)</f>
        <v>16</v>
      </c>
      <c r="I224" s="90">
        <f t="shared" si="8"/>
        <v>25</v>
      </c>
      <c r="J224" s="85">
        <f t="shared" si="9"/>
        <v>0.45454545454545453</v>
      </c>
      <c r="K224" s="30">
        <f>SUMIF('[1]Pool-gardien'!$D$5:$D$127,C224,'[1]Pool-gardien'!$F$5:$F$127)</f>
        <v>0</v>
      </c>
      <c r="L224" s="30">
        <f>SUMIF('[1]Pool-gardien'!$D$5:$D$127,C224,'[1]Pool-gardien'!$G$5:$G$127)</f>
        <v>0</v>
      </c>
      <c r="M224" s="30">
        <f>SUMIF('[1]Pool-gardien'!$D$5:$D$127,C224,'[1]Pool-gardien'!$H$5:$H$127)</f>
        <v>0</v>
      </c>
      <c r="N224" s="91">
        <f>SUMIF('[1]Pool-gardien'!$D$5:$D$127,C224,'[1]Pool-gardien'!$K$5:$K$127)</f>
        <v>0</v>
      </c>
      <c r="O224" s="30">
        <f>SUMIF('[1]Equipes-Pool'!$B$6:$B$35,C224,'[1]Equipes-Pool'!$D$6:$D$35)</f>
        <v>0</v>
      </c>
      <c r="P224" s="30">
        <f>SUMIF('[1]Equipes-Pool'!$B$6:$B$35,C224,'[1]Equipes-Pool'!$E$6:$E$35)</f>
        <v>0</v>
      </c>
      <c r="Q224" s="30">
        <f>SUMIF('[1]Equipes-Pool'!$B$6:$B$35,C224,'[1]Equipes-Pool'!$F$6:$F$35)</f>
        <v>0</v>
      </c>
      <c r="R224" s="91">
        <f>SUMIF('[1]Equipes-Pool'!$B$6:$B$35,C224,'[1]Equipes-Pool'!$G$6:$G$35)</f>
        <v>0</v>
      </c>
    </row>
    <row r="225" spans="1:18" ht="15.75">
      <c r="A225" s="12" t="s">
        <v>33</v>
      </c>
      <c r="B225" s="14" t="s">
        <v>140</v>
      </c>
      <c r="C225" s="55" t="s">
        <v>308</v>
      </c>
      <c r="D225" s="62" t="s">
        <v>392</v>
      </c>
      <c r="E225" s="10" t="s">
        <v>27</v>
      </c>
      <c r="F225" s="84">
        <f>SUMIF('[1]POOL-joueus'!$D$5:$D$808,C225,'[1]POOL-joueus'!$E$5:$E$808)</f>
        <v>21</v>
      </c>
      <c r="G225" s="84">
        <f>SUMIF('[1]POOL-joueus'!$D$5:$D$808,C225,'[1]POOL-joueus'!$F$5:F$808)</f>
        <v>1</v>
      </c>
      <c r="H225" s="84">
        <f>SUMIF('[1]POOL-joueus'!$D$5:$D$808,C225,'[1]POOL-joueus'!$G$5:G$808)</f>
        <v>6</v>
      </c>
      <c r="I225" s="90">
        <f t="shared" si="8"/>
        <v>7</v>
      </c>
      <c r="J225" s="85">
        <f t="shared" si="9"/>
        <v>0.3333333333333333</v>
      </c>
      <c r="K225" s="30">
        <f>SUMIF('[1]Pool-gardien'!$D$5:$D$127,C225,'[1]Pool-gardien'!$F$5:$F$127)</f>
        <v>0</v>
      </c>
      <c r="L225" s="30">
        <f>SUMIF('[1]Pool-gardien'!$D$5:$D$127,C225,'[1]Pool-gardien'!$G$5:$G$127)</f>
        <v>0</v>
      </c>
      <c r="M225" s="30">
        <f>SUMIF('[1]Pool-gardien'!$D$5:$D$127,C225,'[1]Pool-gardien'!$H$5:$H$127)</f>
        <v>0</v>
      </c>
      <c r="N225" s="91">
        <f>SUMIF('[1]Pool-gardien'!$D$5:$D$127,C225,'[1]Pool-gardien'!$K$5:$K$127)</f>
        <v>0</v>
      </c>
      <c r="O225" s="30">
        <f>SUMIF('[1]Equipes-Pool'!$B$6:$B$35,C225,'[1]Equipes-Pool'!$D$6:$D$35)</f>
        <v>0</v>
      </c>
      <c r="P225" s="30">
        <f>SUMIF('[1]Equipes-Pool'!$B$6:$B$35,C225,'[1]Equipes-Pool'!$E$6:$E$35)</f>
        <v>0</v>
      </c>
      <c r="Q225" s="30">
        <f>SUMIF('[1]Equipes-Pool'!$B$6:$B$35,C225,'[1]Equipes-Pool'!$F$6:$F$35)</f>
        <v>0</v>
      </c>
      <c r="R225" s="91">
        <f>SUMIF('[1]Equipes-Pool'!$B$6:$B$35,C225,'[1]Equipes-Pool'!$G$6:$G$35)</f>
        <v>0</v>
      </c>
    </row>
    <row r="226" spans="1:18" ht="15.75">
      <c r="A226" s="12" t="s">
        <v>33</v>
      </c>
      <c r="B226" s="14" t="s">
        <v>13</v>
      </c>
      <c r="C226" s="55" t="s">
        <v>310</v>
      </c>
      <c r="D226" s="62" t="s">
        <v>392</v>
      </c>
      <c r="E226" s="10" t="s">
        <v>62</v>
      </c>
      <c r="F226" s="84">
        <f>SUMIF('[1]POOL-joueus'!$D$5:$D$808,C226,'[1]POOL-joueus'!$E$5:$E$808)</f>
        <v>65</v>
      </c>
      <c r="G226" s="84">
        <f>SUMIF('[1]POOL-joueus'!$D$5:$D$808,C226,'[1]POOL-joueus'!$F$5:F$808)</f>
        <v>6</v>
      </c>
      <c r="H226" s="84">
        <f>SUMIF('[1]POOL-joueus'!$D$5:$D$808,C226,'[1]POOL-joueus'!$G$5:G$808)</f>
        <v>20</v>
      </c>
      <c r="I226" s="90">
        <f t="shared" si="8"/>
        <v>26</v>
      </c>
      <c r="J226" s="85">
        <f t="shared" si="9"/>
        <v>0.4</v>
      </c>
      <c r="K226" s="30">
        <f>SUMIF('[1]Pool-gardien'!$D$5:$D$127,C226,'[1]Pool-gardien'!$F$5:$F$127)</f>
        <v>0</v>
      </c>
      <c r="L226" s="30">
        <f>SUMIF('[1]Pool-gardien'!$D$5:$D$127,C226,'[1]Pool-gardien'!$G$5:$G$127)</f>
        <v>0</v>
      </c>
      <c r="M226" s="30">
        <f>SUMIF('[1]Pool-gardien'!$D$5:$D$127,C226,'[1]Pool-gardien'!$H$5:$H$127)</f>
        <v>0</v>
      </c>
      <c r="N226" s="91">
        <f>SUMIF('[1]Pool-gardien'!$D$5:$D$127,C226,'[1]Pool-gardien'!$K$5:$K$127)</f>
        <v>0</v>
      </c>
      <c r="O226" s="30">
        <f>SUMIF('[1]Equipes-Pool'!$B$6:$B$35,C226,'[1]Equipes-Pool'!$D$6:$D$35)</f>
        <v>0</v>
      </c>
      <c r="P226" s="30">
        <f>SUMIF('[1]Equipes-Pool'!$B$6:$B$35,C226,'[1]Equipes-Pool'!$E$6:$E$35)</f>
        <v>0</v>
      </c>
      <c r="Q226" s="30">
        <f>SUMIF('[1]Equipes-Pool'!$B$6:$B$35,C226,'[1]Equipes-Pool'!$F$6:$F$35)</f>
        <v>0</v>
      </c>
      <c r="R226" s="91">
        <f>SUMIF('[1]Equipes-Pool'!$B$6:$B$35,C226,'[1]Equipes-Pool'!$G$6:$G$35)</f>
        <v>0</v>
      </c>
    </row>
    <row r="227" spans="1:18" ht="16.5" thickBot="1">
      <c r="A227" s="49" t="s">
        <v>40</v>
      </c>
      <c r="B227" s="50" t="s">
        <v>111</v>
      </c>
      <c r="C227" s="66" t="s">
        <v>312</v>
      </c>
      <c r="D227" s="64" t="s">
        <v>392</v>
      </c>
      <c r="E227" s="59" t="s">
        <v>65</v>
      </c>
      <c r="F227" s="84">
        <f>SUMIF('[1]POOL-joueus'!$D$5:$D$808,C227,'[1]POOL-joueus'!$E$5:$E$808)</f>
        <v>4</v>
      </c>
      <c r="G227" s="84">
        <f>SUMIF('[1]POOL-joueus'!$D$5:$D$808,C227,'[1]POOL-joueus'!$F$5:F$808)</f>
        <v>0</v>
      </c>
      <c r="H227" s="84">
        <f>SUMIF('[1]POOL-joueus'!$D$5:$D$808,C227,'[1]POOL-joueus'!$G$5:G$808)</f>
        <v>0</v>
      </c>
      <c r="I227" s="90">
        <f t="shared" si="8"/>
        <v>0</v>
      </c>
      <c r="J227" s="85">
        <f t="shared" si="9"/>
        <v>0</v>
      </c>
      <c r="K227" s="30">
        <f>SUMIF('[1]Pool-gardien'!$D$5:$D$127,C227,'[1]Pool-gardien'!$F$5:$F$127)</f>
        <v>0</v>
      </c>
      <c r="L227" s="30">
        <f>SUMIF('[1]Pool-gardien'!$D$5:$D$127,C227,'[1]Pool-gardien'!$G$5:$G$127)</f>
        <v>0</v>
      </c>
      <c r="M227" s="30">
        <f>SUMIF('[1]Pool-gardien'!$D$5:$D$127,C227,'[1]Pool-gardien'!$H$5:$H$127)</f>
        <v>0</v>
      </c>
      <c r="N227" s="91">
        <f>SUMIF('[1]Pool-gardien'!$D$5:$D$127,C227,'[1]Pool-gardien'!$K$5:$K$127)</f>
        <v>0</v>
      </c>
      <c r="O227" s="30">
        <f>SUMIF('[1]Equipes-Pool'!$B$6:$B$35,C227,'[1]Equipes-Pool'!$D$6:$D$35)</f>
        <v>0</v>
      </c>
      <c r="P227" s="30">
        <f>SUMIF('[1]Equipes-Pool'!$B$6:$B$35,C227,'[1]Equipes-Pool'!$E$6:$E$35)</f>
        <v>0</v>
      </c>
      <c r="Q227" s="30">
        <f>SUMIF('[1]Equipes-Pool'!$B$6:$B$35,C227,'[1]Equipes-Pool'!$F$6:$F$35)</f>
        <v>0</v>
      </c>
      <c r="R227" s="91">
        <f>SUMIF('[1]Equipes-Pool'!$B$6:$B$35,C227,'[1]Equipes-Pool'!$G$6:$G$35)</f>
        <v>0</v>
      </c>
    </row>
    <row r="228" spans="1:18" ht="15.75">
      <c r="A228" s="20" t="s">
        <v>33</v>
      </c>
      <c r="B228" s="21" t="s">
        <v>36</v>
      </c>
      <c r="C228" s="67" t="s">
        <v>315</v>
      </c>
      <c r="D228" s="63" t="s">
        <v>393</v>
      </c>
      <c r="E228" s="65" t="s">
        <v>16</v>
      </c>
      <c r="F228" s="84">
        <f>SUMIF('[1]POOL-joueus'!$D$5:$D$808,C228,'[1]POOL-joueus'!$E$5:$E$808)</f>
        <v>66</v>
      </c>
      <c r="G228" s="84">
        <f>SUMIF('[1]POOL-joueus'!$D$5:$D$808,C228,'[1]POOL-joueus'!$F$5:F$808)</f>
        <v>5</v>
      </c>
      <c r="H228" s="84">
        <f>SUMIF('[1]POOL-joueus'!$D$5:$D$808,C228,'[1]POOL-joueus'!$G$5:G$808)</f>
        <v>23</v>
      </c>
      <c r="I228" s="90">
        <f t="shared" si="8"/>
        <v>28</v>
      </c>
      <c r="J228" s="85">
        <f t="shared" si="9"/>
        <v>0.42424242424242425</v>
      </c>
      <c r="K228" s="30">
        <f>SUMIF('[1]Pool-gardien'!$D$5:$D$127,C228,'[1]Pool-gardien'!$F$5:$F$127)</f>
        <v>0</v>
      </c>
      <c r="L228" s="30">
        <f>SUMIF('[1]Pool-gardien'!$D$5:$D$127,C228,'[1]Pool-gardien'!$G$5:$G$127)</f>
        <v>0</v>
      </c>
      <c r="M228" s="30">
        <f>SUMIF('[1]Pool-gardien'!$D$5:$D$127,C228,'[1]Pool-gardien'!$H$5:$H$127)</f>
        <v>0</v>
      </c>
      <c r="N228" s="91">
        <f>SUMIF('[1]Pool-gardien'!$D$5:$D$127,C228,'[1]Pool-gardien'!$K$5:$K$127)</f>
        <v>0</v>
      </c>
      <c r="O228" s="30">
        <f>SUMIF('[1]Equipes-Pool'!$B$6:$B$35,C228,'[1]Equipes-Pool'!$D$6:$D$35)</f>
        <v>0</v>
      </c>
      <c r="P228" s="30">
        <f>SUMIF('[1]Equipes-Pool'!$B$6:$B$35,C228,'[1]Equipes-Pool'!$E$6:$E$35)</f>
        <v>0</v>
      </c>
      <c r="Q228" s="30">
        <f>SUMIF('[1]Equipes-Pool'!$B$6:$B$35,C228,'[1]Equipes-Pool'!$F$6:$F$35)</f>
        <v>0</v>
      </c>
      <c r="R228" s="91">
        <f>SUMIF('[1]Equipes-Pool'!$B$6:$B$35,C228,'[1]Equipes-Pool'!$G$6:$G$35)</f>
        <v>0</v>
      </c>
    </row>
    <row r="229" spans="1:18" ht="15.75">
      <c r="A229" s="12" t="s">
        <v>12</v>
      </c>
      <c r="B229" s="14" t="s">
        <v>140</v>
      </c>
      <c r="C229" s="55" t="s">
        <v>317</v>
      </c>
      <c r="D229" s="62" t="s">
        <v>393</v>
      </c>
      <c r="E229" s="10" t="s">
        <v>23</v>
      </c>
      <c r="F229" s="84">
        <f>SUMIF('[1]POOL-joueus'!$D$5:$D$808,C229,'[1]POOL-joueus'!$E$5:$E$808)</f>
        <v>66</v>
      </c>
      <c r="G229" s="84">
        <f>SUMIF('[1]POOL-joueus'!$D$5:$D$808,C229,'[1]POOL-joueus'!$F$5:F$808)</f>
        <v>18</v>
      </c>
      <c r="H229" s="84">
        <f>SUMIF('[1]POOL-joueus'!$D$5:$D$808,C229,'[1]POOL-joueus'!$G$5:G$808)</f>
        <v>23</v>
      </c>
      <c r="I229" s="90">
        <f t="shared" si="8"/>
        <v>41</v>
      </c>
      <c r="J229" s="85">
        <f t="shared" si="9"/>
        <v>0.6212121212121212</v>
      </c>
      <c r="K229" s="30">
        <f>SUMIF('[1]Pool-gardien'!$D$5:$D$127,C229,'[1]Pool-gardien'!$F$5:$F$127)</f>
        <v>0</v>
      </c>
      <c r="L229" s="30">
        <f>SUMIF('[1]Pool-gardien'!$D$5:$D$127,C229,'[1]Pool-gardien'!$G$5:$G$127)</f>
        <v>0</v>
      </c>
      <c r="M229" s="30">
        <f>SUMIF('[1]Pool-gardien'!$D$5:$D$127,C229,'[1]Pool-gardien'!$H$5:$H$127)</f>
        <v>0</v>
      </c>
      <c r="N229" s="91">
        <f>SUMIF('[1]Pool-gardien'!$D$5:$D$127,C229,'[1]Pool-gardien'!$K$5:$K$127)</f>
        <v>0</v>
      </c>
      <c r="O229" s="30">
        <f>SUMIF('[1]Equipes-Pool'!$B$6:$B$35,C229,'[1]Equipes-Pool'!$D$6:$D$35)</f>
        <v>0</v>
      </c>
      <c r="P229" s="30">
        <f>SUMIF('[1]Equipes-Pool'!$B$6:$B$35,C229,'[1]Equipes-Pool'!$E$6:$E$35)</f>
        <v>0</v>
      </c>
      <c r="Q229" s="30">
        <f>SUMIF('[1]Equipes-Pool'!$B$6:$B$35,C229,'[1]Equipes-Pool'!$F$6:$F$35)</f>
        <v>0</v>
      </c>
      <c r="R229" s="91">
        <f>SUMIF('[1]Equipes-Pool'!$B$6:$B$35,C229,'[1]Equipes-Pool'!$G$6:$G$35)</f>
        <v>0</v>
      </c>
    </row>
    <row r="230" spans="1:18" ht="15.75">
      <c r="A230" s="12" t="s">
        <v>24</v>
      </c>
      <c r="B230" s="14" t="s">
        <v>120</v>
      </c>
      <c r="C230" s="55" t="s">
        <v>319</v>
      </c>
      <c r="D230" s="62" t="s">
        <v>393</v>
      </c>
      <c r="E230" s="10" t="s">
        <v>32</v>
      </c>
      <c r="F230" s="30">
        <f>SUMIF('[1]POOL-joueus'!$D$5:$D$808,C230,'[1]POOL-joueus'!$E$5:$E$808)</f>
        <v>0</v>
      </c>
      <c r="G230" s="30">
        <f>SUMIF('[1]POOL-joueus'!$D$5:$D$808,C230,'[1]POOL-joueus'!$F$5:F$808)</f>
        <v>0</v>
      </c>
      <c r="H230" s="30">
        <f>SUMIF('[1]POOL-joueus'!$D$5:$D$808,C230,'[1]POOL-joueus'!$G$5:G$808)</f>
        <v>0</v>
      </c>
      <c r="I230" s="91">
        <f t="shared" si="8"/>
        <v>0</v>
      </c>
      <c r="J230" s="81" t="e">
        <f t="shared" si="9"/>
        <v>#DIV/0!</v>
      </c>
      <c r="K230" s="30">
        <f>SUMIF('[1]Pool-gardien'!$D$5:$D$127,C230,'[1]Pool-gardien'!$F$5:$F$127)</f>
        <v>0</v>
      </c>
      <c r="L230" s="30">
        <f>SUMIF('[1]Pool-gardien'!$D$5:$D$127,C230,'[1]Pool-gardien'!$G$5:$G$127)</f>
        <v>0</v>
      </c>
      <c r="M230" s="30">
        <f>SUMIF('[1]Pool-gardien'!$D$5:$D$127,C230,'[1]Pool-gardien'!$H$5:$H$127)</f>
        <v>0</v>
      </c>
      <c r="N230" s="91">
        <f>SUMIF('[1]Pool-gardien'!$D$5:$D$127,C230,'[1]Pool-gardien'!$K$5:$K$127)</f>
        <v>0</v>
      </c>
      <c r="O230" s="30">
        <f>SUMIF('[1]Equipes-Pool'!$B$6:$B$35,C230,'[1]Equipes-Pool'!$D$6:$D$35)</f>
        <v>0</v>
      </c>
      <c r="P230" s="30">
        <f>SUMIF('[1]Equipes-Pool'!$B$6:$B$35,C230,'[1]Equipes-Pool'!$E$6:$E$35)</f>
        <v>0</v>
      </c>
      <c r="Q230" s="30">
        <f>SUMIF('[1]Equipes-Pool'!$B$6:$B$35,C230,'[1]Equipes-Pool'!$F$6:$F$35)</f>
        <v>0</v>
      </c>
      <c r="R230" s="91">
        <f>SUMIF('[1]Equipes-Pool'!$B$6:$B$35,C230,'[1]Equipes-Pool'!$G$6:$G$35)</f>
        <v>0</v>
      </c>
    </row>
    <row r="231" spans="1:18" ht="15.75">
      <c r="A231" s="20" t="s">
        <v>12</v>
      </c>
      <c r="B231" s="21" t="s">
        <v>120</v>
      </c>
      <c r="C231" s="55" t="s">
        <v>321</v>
      </c>
      <c r="D231" s="62" t="s">
        <v>393</v>
      </c>
      <c r="E231" s="10" t="s">
        <v>39</v>
      </c>
      <c r="F231" s="84">
        <f>SUMIF('[1]POOL-joueus'!$D$5:$D$808,C231,'[1]POOL-joueus'!$E$5:$E$808)</f>
        <v>33</v>
      </c>
      <c r="G231" s="84">
        <f>SUMIF('[1]POOL-joueus'!$D$5:$D$808,C231,'[1]POOL-joueus'!$F$5:F$808)</f>
        <v>4</v>
      </c>
      <c r="H231" s="84">
        <f>SUMIF('[1]POOL-joueus'!$D$5:$D$808,C231,'[1]POOL-joueus'!$G$5:G$808)</f>
        <v>8</v>
      </c>
      <c r="I231" s="90">
        <f t="shared" si="8"/>
        <v>12</v>
      </c>
      <c r="J231" s="85">
        <f t="shared" si="9"/>
        <v>0.36363636363636365</v>
      </c>
      <c r="K231" s="30">
        <f>SUMIF('[1]Pool-gardien'!$D$5:$D$127,C231,'[1]Pool-gardien'!$F$5:$F$127)</f>
        <v>0</v>
      </c>
      <c r="L231" s="30">
        <f>SUMIF('[1]Pool-gardien'!$D$5:$D$127,C231,'[1]Pool-gardien'!$G$5:$G$127)</f>
        <v>0</v>
      </c>
      <c r="M231" s="30">
        <f>SUMIF('[1]Pool-gardien'!$D$5:$D$127,C231,'[1]Pool-gardien'!$H$5:$H$127)</f>
        <v>0</v>
      </c>
      <c r="N231" s="91">
        <f>SUMIF('[1]Pool-gardien'!$D$5:$D$127,C231,'[1]Pool-gardien'!$K$5:$K$127)</f>
        <v>0</v>
      </c>
      <c r="O231" s="30">
        <f>SUMIF('[1]Equipes-Pool'!$B$6:$B$35,C231,'[1]Equipes-Pool'!$D$6:$D$35)</f>
        <v>0</v>
      </c>
      <c r="P231" s="30">
        <f>SUMIF('[1]Equipes-Pool'!$B$6:$B$35,C231,'[1]Equipes-Pool'!$E$6:$E$35)</f>
        <v>0</v>
      </c>
      <c r="Q231" s="30">
        <f>SUMIF('[1]Equipes-Pool'!$B$6:$B$35,C231,'[1]Equipes-Pool'!$F$6:$F$35)</f>
        <v>0</v>
      </c>
      <c r="R231" s="91">
        <f>SUMIF('[1]Equipes-Pool'!$B$6:$B$35,C231,'[1]Equipes-Pool'!$G$6:$G$35)</f>
        <v>0</v>
      </c>
    </row>
    <row r="232" spans="1:18" ht="15.75">
      <c r="A232" s="12" t="s">
        <v>12</v>
      </c>
      <c r="B232" s="14" t="s">
        <v>125</v>
      </c>
      <c r="C232" s="55" t="s">
        <v>323</v>
      </c>
      <c r="D232" s="62" t="s">
        <v>393</v>
      </c>
      <c r="E232" s="10" t="s">
        <v>45</v>
      </c>
      <c r="F232" s="84">
        <f>SUMIF('[1]POOL-joueus'!$D$5:$D$808,C232,'[1]POOL-joueus'!$E$5:$E$808)</f>
        <v>21</v>
      </c>
      <c r="G232" s="84">
        <f>SUMIF('[1]POOL-joueus'!$D$5:$D$808,C232,'[1]POOL-joueus'!$F$5:F$808)</f>
        <v>1</v>
      </c>
      <c r="H232" s="84">
        <f>SUMIF('[1]POOL-joueus'!$D$5:$D$808,C232,'[1]POOL-joueus'!$G$5:G$808)</f>
        <v>7</v>
      </c>
      <c r="I232" s="90">
        <f t="shared" si="8"/>
        <v>8</v>
      </c>
      <c r="J232" s="85">
        <f t="shared" si="9"/>
        <v>0.38095238095238093</v>
      </c>
      <c r="K232" s="30">
        <f>SUMIF('[1]Pool-gardien'!$D$5:$D$127,C232,'[1]Pool-gardien'!$F$5:$F$127)</f>
        <v>0</v>
      </c>
      <c r="L232" s="30">
        <f>SUMIF('[1]Pool-gardien'!$D$5:$D$127,C232,'[1]Pool-gardien'!$G$5:$G$127)</f>
        <v>0</v>
      </c>
      <c r="M232" s="30">
        <f>SUMIF('[1]Pool-gardien'!$D$5:$D$127,C232,'[1]Pool-gardien'!$H$5:$H$127)</f>
        <v>0</v>
      </c>
      <c r="N232" s="91">
        <f>SUMIF('[1]Pool-gardien'!$D$5:$D$127,C232,'[1]Pool-gardien'!$K$5:$K$127)</f>
        <v>0</v>
      </c>
      <c r="O232" s="30">
        <f>SUMIF('[1]Equipes-Pool'!$B$6:$B$35,C232,'[1]Equipes-Pool'!$D$6:$D$35)</f>
        <v>0</v>
      </c>
      <c r="P232" s="30">
        <f>SUMIF('[1]Equipes-Pool'!$B$6:$B$35,C232,'[1]Equipes-Pool'!$E$6:$E$35)</f>
        <v>0</v>
      </c>
      <c r="Q232" s="30">
        <f>SUMIF('[1]Equipes-Pool'!$B$6:$B$35,C232,'[1]Equipes-Pool'!$F$6:$F$35)</f>
        <v>0</v>
      </c>
      <c r="R232" s="91">
        <f>SUMIF('[1]Equipes-Pool'!$B$6:$B$35,C232,'[1]Equipes-Pool'!$G$6:$G$35)</f>
        <v>0</v>
      </c>
    </row>
    <row r="233" spans="1:18" ht="15.75">
      <c r="A233" s="12" t="s">
        <v>12</v>
      </c>
      <c r="B233" s="14" t="s">
        <v>10</v>
      </c>
      <c r="C233" s="55" t="s">
        <v>325</v>
      </c>
      <c r="D233" s="62" t="s">
        <v>393</v>
      </c>
      <c r="E233" s="10" t="s">
        <v>52</v>
      </c>
      <c r="F233" s="84">
        <f>SUMIF('[1]POOL-joueus'!$D$5:$D$808,C233,'[1]POOL-joueus'!$E$5:$E$808)</f>
        <v>65</v>
      </c>
      <c r="G233" s="84">
        <f>SUMIF('[1]POOL-joueus'!$D$5:$D$808,C233,'[1]POOL-joueus'!$F$5:F$808)</f>
        <v>15</v>
      </c>
      <c r="H233" s="84">
        <f>SUMIF('[1]POOL-joueus'!$D$5:$D$808,C233,'[1]POOL-joueus'!$G$5:G$808)</f>
        <v>32</v>
      </c>
      <c r="I233" s="90">
        <f t="shared" si="8"/>
        <v>47</v>
      </c>
      <c r="J233" s="85">
        <f t="shared" si="9"/>
        <v>0.7230769230769231</v>
      </c>
      <c r="K233" s="30">
        <f>SUMIF('[1]Pool-gardien'!$D$5:$D$127,C233,'[1]Pool-gardien'!$F$5:$F$127)</f>
        <v>0</v>
      </c>
      <c r="L233" s="30">
        <f>SUMIF('[1]Pool-gardien'!$D$5:$D$127,C233,'[1]Pool-gardien'!$G$5:$G$127)</f>
        <v>0</v>
      </c>
      <c r="M233" s="30">
        <f>SUMIF('[1]Pool-gardien'!$D$5:$D$127,C233,'[1]Pool-gardien'!$H$5:$H$127)</f>
        <v>0</v>
      </c>
      <c r="N233" s="91">
        <f>SUMIF('[1]Pool-gardien'!$D$5:$D$127,C233,'[1]Pool-gardien'!$K$5:$K$127)</f>
        <v>0</v>
      </c>
      <c r="O233" s="30">
        <f>SUMIF('[1]Equipes-Pool'!$B$6:$B$35,C233,'[1]Equipes-Pool'!$D$6:$D$35)</f>
        <v>0</v>
      </c>
      <c r="P233" s="30">
        <f>SUMIF('[1]Equipes-Pool'!$B$6:$B$35,C233,'[1]Equipes-Pool'!$E$6:$E$35)</f>
        <v>0</v>
      </c>
      <c r="Q233" s="30">
        <f>SUMIF('[1]Equipes-Pool'!$B$6:$B$35,C233,'[1]Equipes-Pool'!$F$6:$F$35)</f>
        <v>0</v>
      </c>
      <c r="R233" s="91">
        <f>SUMIF('[1]Equipes-Pool'!$B$6:$B$35,C233,'[1]Equipes-Pool'!$G$6:$G$35)</f>
        <v>0</v>
      </c>
    </row>
    <row r="234" spans="1:18" ht="15.75">
      <c r="A234" s="12" t="s">
        <v>33</v>
      </c>
      <c r="B234" s="14" t="s">
        <v>29</v>
      </c>
      <c r="C234" s="55" t="s">
        <v>327</v>
      </c>
      <c r="D234" s="62" t="s">
        <v>393</v>
      </c>
      <c r="E234" s="10" t="s">
        <v>27</v>
      </c>
      <c r="F234" s="84">
        <f>SUMIF('[1]POOL-joueus'!$D$5:$D$808,C234,'[1]POOL-joueus'!$E$5:$E$808)</f>
        <v>4</v>
      </c>
      <c r="G234" s="84">
        <f>SUMIF('[1]POOL-joueus'!$D$5:$D$808,C234,'[1]POOL-joueus'!$F$5:F$808)</f>
        <v>0</v>
      </c>
      <c r="H234" s="84">
        <f>SUMIF('[1]POOL-joueus'!$D$5:$D$808,C234,'[1]POOL-joueus'!$G$5:G$808)</f>
        <v>0</v>
      </c>
      <c r="I234" s="90">
        <f t="shared" si="8"/>
        <v>0</v>
      </c>
      <c r="J234" s="85">
        <f t="shared" si="9"/>
        <v>0</v>
      </c>
      <c r="K234" s="30">
        <f>SUMIF('[1]Pool-gardien'!$D$5:$D$127,C234,'[1]Pool-gardien'!$F$5:$F$127)</f>
        <v>0</v>
      </c>
      <c r="L234" s="30">
        <f>SUMIF('[1]Pool-gardien'!$D$5:$D$127,C234,'[1]Pool-gardien'!$G$5:$G$127)</f>
        <v>0</v>
      </c>
      <c r="M234" s="30">
        <f>SUMIF('[1]Pool-gardien'!$D$5:$D$127,C234,'[1]Pool-gardien'!$H$5:$H$127)</f>
        <v>0</v>
      </c>
      <c r="N234" s="91">
        <f>SUMIF('[1]Pool-gardien'!$D$5:$D$127,C234,'[1]Pool-gardien'!$K$5:$K$127)</f>
        <v>0</v>
      </c>
      <c r="O234" s="30">
        <f>SUMIF('[1]Equipes-Pool'!$B$6:$B$35,C234,'[1]Equipes-Pool'!$D$6:$D$35)</f>
        <v>0</v>
      </c>
      <c r="P234" s="30">
        <f>SUMIF('[1]Equipes-Pool'!$B$6:$B$35,C234,'[1]Equipes-Pool'!$E$6:$E$35)</f>
        <v>0</v>
      </c>
      <c r="Q234" s="30">
        <f>SUMIF('[1]Equipes-Pool'!$B$6:$B$35,C234,'[1]Equipes-Pool'!$F$6:$F$35)</f>
        <v>0</v>
      </c>
      <c r="R234" s="91">
        <f>SUMIF('[1]Equipes-Pool'!$B$6:$B$35,C234,'[1]Equipes-Pool'!$G$6:$G$35)</f>
        <v>0</v>
      </c>
    </row>
    <row r="235" spans="1:18" ht="15.75">
      <c r="A235" s="12" t="s">
        <v>12</v>
      </c>
      <c r="B235" s="14" t="s">
        <v>81</v>
      </c>
      <c r="C235" s="13" t="s">
        <v>329</v>
      </c>
      <c r="D235" s="62" t="s">
        <v>393</v>
      </c>
      <c r="E235" s="10" t="s">
        <v>62</v>
      </c>
      <c r="F235" s="84">
        <f>SUMIF('[1]POOL-joueus'!$D$5:$D$808,C235,'[1]POOL-joueus'!$E$5:$E$808)</f>
        <v>56</v>
      </c>
      <c r="G235" s="84">
        <f>SUMIF('[1]POOL-joueus'!$D$5:$D$808,C235,'[1]POOL-joueus'!$F$5:F$808)</f>
        <v>9</v>
      </c>
      <c r="H235" s="84">
        <f>SUMIF('[1]POOL-joueus'!$D$5:$D$808,C235,'[1]POOL-joueus'!$G$5:G$808)</f>
        <v>12</v>
      </c>
      <c r="I235" s="90">
        <f t="shared" si="8"/>
        <v>21</v>
      </c>
      <c r="J235" s="85">
        <f t="shared" si="9"/>
        <v>0.375</v>
      </c>
      <c r="K235" s="30">
        <f>SUMIF('[1]Pool-gardien'!$D$5:$D$127,C235,'[1]Pool-gardien'!$F$5:$F$127)</f>
        <v>0</v>
      </c>
      <c r="L235" s="30">
        <f>SUMIF('[1]Pool-gardien'!$D$5:$D$127,C235,'[1]Pool-gardien'!$G$5:$G$127)</f>
        <v>0</v>
      </c>
      <c r="M235" s="30">
        <f>SUMIF('[1]Pool-gardien'!$D$5:$D$127,C235,'[1]Pool-gardien'!$H$5:$H$127)</f>
        <v>0</v>
      </c>
      <c r="N235" s="91">
        <f>SUMIF('[1]Pool-gardien'!$D$5:$D$127,C235,'[1]Pool-gardien'!$K$5:$K$127)</f>
        <v>0</v>
      </c>
      <c r="O235" s="30">
        <f>SUMIF('[1]Equipes-Pool'!$B$6:$B$35,C235,'[1]Equipes-Pool'!$D$6:$D$35)</f>
        <v>0</v>
      </c>
      <c r="P235" s="30">
        <f>SUMIF('[1]Equipes-Pool'!$B$6:$B$35,C235,'[1]Equipes-Pool'!$E$6:$E$35)</f>
        <v>0</v>
      </c>
      <c r="Q235" s="30">
        <f>SUMIF('[1]Equipes-Pool'!$B$6:$B$35,C235,'[1]Equipes-Pool'!$F$6:$F$35)</f>
        <v>0</v>
      </c>
      <c r="R235" s="91">
        <f>SUMIF('[1]Equipes-Pool'!$B$6:$B$35,C235,'[1]Equipes-Pool'!$G$6:$G$35)</f>
        <v>0</v>
      </c>
    </row>
    <row r="236" spans="1:18" ht="16.5" thickBot="1">
      <c r="A236" s="54" t="s">
        <v>28</v>
      </c>
      <c r="B236" s="54" t="s">
        <v>10</v>
      </c>
      <c r="C236" s="71" t="s">
        <v>330</v>
      </c>
      <c r="D236" s="64" t="s">
        <v>393</v>
      </c>
      <c r="E236" s="59" t="s">
        <v>65</v>
      </c>
      <c r="F236" s="82">
        <f>SUMIF('[1]Pool-gardien'!$D$5:$D$127,C236,'[1]Pool-gardien'!$E$5:$E$127)</f>
        <v>4</v>
      </c>
      <c r="G236" s="82">
        <f>SUMIF('[1]Pool-gardien'!$D$5:$D$127,C236,'[1]Pool-gardien'!$I$5:$I$127)</f>
        <v>0</v>
      </c>
      <c r="H236" s="82">
        <f>SUMIF('[1]Pool-gardien'!$D$5:$D$127,C236,'[1]Pool-gardien'!$J$5:$J$127)</f>
        <v>0</v>
      </c>
      <c r="I236" s="92">
        <f t="shared" si="8"/>
        <v>0</v>
      </c>
      <c r="J236" s="81">
        <f t="shared" si="9"/>
        <v>0</v>
      </c>
      <c r="K236" s="82">
        <f>SUMIF('[1]Pool-gardien'!$D$5:$D$127,C236,'[1]Pool-gardien'!$F$5:$F$127)</f>
        <v>1</v>
      </c>
      <c r="L236" s="82">
        <f>SUMIF('[1]Pool-gardien'!$D$5:$D$127,C236,'[1]Pool-gardien'!$G$5:$G$127)</f>
        <v>1</v>
      </c>
      <c r="M236" s="82">
        <f>SUMIF('[1]Pool-gardien'!$D$5:$D$127,C236,'[1]Pool-gardien'!$H$5:$H$127)</f>
        <v>0</v>
      </c>
      <c r="N236" s="92">
        <f>SUMIF('[1]Pool-gardien'!$D$5:$D$127,C236,'[1]Pool-gardien'!$K$5:$K$127)</f>
        <v>3</v>
      </c>
      <c r="O236" s="30">
        <f>SUMIF('[1]Equipes-Pool'!$B$6:$B$35,C236,'[1]Equipes-Pool'!$D$6:$D$35)</f>
        <v>0</v>
      </c>
      <c r="P236" s="30">
        <f>SUMIF('[1]Equipes-Pool'!$B$6:$B$35,C236,'[1]Equipes-Pool'!$E$6:$E$35)</f>
        <v>0</v>
      </c>
      <c r="Q236" s="30">
        <f>SUMIF('[1]Equipes-Pool'!$B$6:$B$35,C236,'[1]Equipes-Pool'!$F$6:$F$35)</f>
        <v>0</v>
      </c>
      <c r="R236" s="91">
        <f>SUMIF('[1]Equipes-Pool'!$B$6:$B$35,C236,'[1]Equipes-Pool'!$G$6:$G$35)</f>
        <v>0</v>
      </c>
    </row>
    <row r="237" spans="1:18" ht="15.75">
      <c r="A237" s="20" t="s">
        <v>93</v>
      </c>
      <c r="B237" s="21" t="s">
        <v>118</v>
      </c>
      <c r="C237" s="72" t="s">
        <v>316</v>
      </c>
      <c r="D237" s="63" t="s">
        <v>394</v>
      </c>
      <c r="E237" s="65" t="s">
        <v>16</v>
      </c>
      <c r="F237" s="30">
        <f>SUMIF('[1]Pool-gardien'!$D$5:$D$127,C237,'[1]Pool-gardien'!$E$5:$E$127)</f>
        <v>8</v>
      </c>
      <c r="G237" s="30">
        <f>SUMIF('[1]Pool-gardien'!$D$5:$D$127,C237,'[1]Pool-gardien'!$I$5:$I$127)</f>
        <v>0</v>
      </c>
      <c r="H237" s="30">
        <f>SUMIF('[1]Pool-gardien'!$D$5:$D$127,C237,'[1]Pool-gardien'!$J$5:$J$127)</f>
        <v>1</v>
      </c>
      <c r="I237" s="91">
        <f t="shared" si="8"/>
        <v>1</v>
      </c>
      <c r="J237" s="81">
        <f t="shared" si="9"/>
        <v>0.125</v>
      </c>
      <c r="K237" s="30">
        <f>SUMIF('[1]Pool-gardien'!$D$5:$D$127,C237,'[1]Pool-gardien'!$F$5:$F$127)</f>
        <v>1</v>
      </c>
      <c r="L237" s="30">
        <f>SUMIF('[1]Pool-gardien'!$D$5:$D$127,C237,'[1]Pool-gardien'!$G$5:$G$127)</f>
        <v>0</v>
      </c>
      <c r="M237" s="30">
        <f>SUMIF('[1]Pool-gardien'!$D$5:$D$127,C237,'[1]Pool-gardien'!$H$5:$H$127)</f>
        <v>0</v>
      </c>
      <c r="N237" s="91">
        <f>SUMIF('[1]Pool-gardien'!$D$5:$D$127,C237,'[1]Pool-gardien'!$K$5:$K$127)</f>
        <v>3</v>
      </c>
      <c r="O237" s="30">
        <f>SUMIF('[1]Equipes-Pool'!$B$6:$B$35,C237,'[1]Equipes-Pool'!$D$6:$D$35)</f>
        <v>0</v>
      </c>
      <c r="P237" s="30">
        <f>SUMIF('[1]Equipes-Pool'!$B$6:$B$35,C237,'[1]Equipes-Pool'!$E$6:$E$35)</f>
        <v>0</v>
      </c>
      <c r="Q237" s="30">
        <f>SUMIF('[1]Equipes-Pool'!$B$6:$B$35,C237,'[1]Equipes-Pool'!$F$6:$F$35)</f>
        <v>0</v>
      </c>
      <c r="R237" s="91">
        <f>SUMIF('[1]Equipes-Pool'!$B$6:$B$35,C237,'[1]Equipes-Pool'!$G$6:$G$35)</f>
        <v>0</v>
      </c>
    </row>
    <row r="238" spans="1:18" ht="15.75">
      <c r="A238" s="12" t="s">
        <v>12</v>
      </c>
      <c r="B238" s="14" t="s">
        <v>125</v>
      </c>
      <c r="C238" s="55" t="s">
        <v>318</v>
      </c>
      <c r="D238" s="62" t="s">
        <v>394</v>
      </c>
      <c r="E238" s="10" t="s">
        <v>23</v>
      </c>
      <c r="F238" s="84">
        <f>SUMIF('[1]POOL-joueus'!$D$5:$D$808,C238,'[1]POOL-joueus'!$E$5:$E$808)</f>
        <v>11</v>
      </c>
      <c r="G238" s="84">
        <f>SUMIF('[1]POOL-joueus'!$D$5:$D$808,C238,'[1]POOL-joueus'!$F$5:F$808)</f>
        <v>0</v>
      </c>
      <c r="H238" s="84">
        <f>SUMIF('[1]POOL-joueus'!$D$5:$D$808,C238,'[1]POOL-joueus'!$G$5:G$808)</f>
        <v>2</v>
      </c>
      <c r="I238" s="90">
        <f t="shared" si="8"/>
        <v>2</v>
      </c>
      <c r="J238" s="85">
        <f t="shared" si="9"/>
        <v>0.18181818181818182</v>
      </c>
      <c r="K238" s="30">
        <f>SUMIF('[1]Pool-gardien'!$D$5:$D$127,C238,'[1]Pool-gardien'!$F$5:$F$127)</f>
        <v>0</v>
      </c>
      <c r="L238" s="30">
        <f>SUMIF('[1]Pool-gardien'!$D$5:$D$127,C238,'[1]Pool-gardien'!$G$5:$G$127)</f>
        <v>0</v>
      </c>
      <c r="M238" s="30">
        <f>SUMIF('[1]Pool-gardien'!$D$5:$D$127,C238,'[1]Pool-gardien'!$H$5:$H$127)</f>
        <v>0</v>
      </c>
      <c r="N238" s="91">
        <f>SUMIF('[1]Pool-gardien'!$D$5:$D$127,C238,'[1]Pool-gardien'!$K$5:$K$127)</f>
        <v>0</v>
      </c>
      <c r="O238" s="30">
        <f>SUMIF('[1]Equipes-Pool'!$B$6:$B$35,C238,'[1]Equipes-Pool'!$D$6:$D$35)</f>
        <v>0</v>
      </c>
      <c r="P238" s="30">
        <f>SUMIF('[1]Equipes-Pool'!$B$6:$B$35,C238,'[1]Equipes-Pool'!$E$6:$E$35)</f>
        <v>0</v>
      </c>
      <c r="Q238" s="30">
        <f>SUMIF('[1]Equipes-Pool'!$B$6:$B$35,C238,'[1]Equipes-Pool'!$F$6:$F$35)</f>
        <v>0</v>
      </c>
      <c r="R238" s="91">
        <f>SUMIF('[1]Equipes-Pool'!$B$6:$B$35,C238,'[1]Equipes-Pool'!$G$6:$G$35)</f>
        <v>0</v>
      </c>
    </row>
    <row r="239" spans="1:18" ht="15.75">
      <c r="A239" s="20" t="s">
        <v>12</v>
      </c>
      <c r="B239" s="21" t="s">
        <v>140</v>
      </c>
      <c r="C239" s="67" t="s">
        <v>320</v>
      </c>
      <c r="D239" s="62" t="s">
        <v>394</v>
      </c>
      <c r="E239" s="10" t="s">
        <v>32</v>
      </c>
      <c r="F239" s="84">
        <f>SUMIF('[1]POOL-joueus'!$D$5:$D$808,C239,'[1]POOL-joueus'!$E$5:$E$808)</f>
        <v>58</v>
      </c>
      <c r="G239" s="84">
        <f>SUMIF('[1]POOL-joueus'!$D$5:$D$808,C239,'[1]POOL-joueus'!$F$5:F$808)</f>
        <v>19</v>
      </c>
      <c r="H239" s="84">
        <f>SUMIF('[1]POOL-joueus'!$D$5:$D$808,C239,'[1]POOL-joueus'!$G$5:G$808)</f>
        <v>18</v>
      </c>
      <c r="I239" s="90">
        <f t="shared" si="8"/>
        <v>37</v>
      </c>
      <c r="J239" s="85">
        <f t="shared" si="9"/>
        <v>0.6379310344827587</v>
      </c>
      <c r="K239" s="30">
        <f>SUMIF('[1]Pool-gardien'!$D$5:$D$127,C239,'[1]Pool-gardien'!$F$5:$F$127)</f>
        <v>0</v>
      </c>
      <c r="L239" s="30">
        <f>SUMIF('[1]Pool-gardien'!$D$5:$D$127,C239,'[1]Pool-gardien'!$G$5:$G$127)</f>
        <v>0</v>
      </c>
      <c r="M239" s="30">
        <f>SUMIF('[1]Pool-gardien'!$D$5:$D$127,C239,'[1]Pool-gardien'!$H$5:$H$127)</f>
        <v>0</v>
      </c>
      <c r="N239" s="91">
        <f>SUMIF('[1]Pool-gardien'!$D$5:$D$127,C239,'[1]Pool-gardien'!$K$5:$K$127)</f>
        <v>0</v>
      </c>
      <c r="O239" s="30">
        <f>SUMIF('[1]Equipes-Pool'!$B$6:$B$35,C239,'[1]Equipes-Pool'!$D$6:$D$35)</f>
        <v>0</v>
      </c>
      <c r="P239" s="30">
        <f>SUMIF('[1]Equipes-Pool'!$B$6:$B$35,C239,'[1]Equipes-Pool'!$E$6:$E$35)</f>
        <v>0</v>
      </c>
      <c r="Q239" s="30">
        <f>SUMIF('[1]Equipes-Pool'!$B$6:$B$35,C239,'[1]Equipes-Pool'!$F$6:$F$35)</f>
        <v>0</v>
      </c>
      <c r="R239" s="91">
        <f>SUMIF('[1]Equipes-Pool'!$B$6:$B$35,C239,'[1]Equipes-Pool'!$G$6:$G$35)</f>
        <v>0</v>
      </c>
    </row>
    <row r="240" spans="1:18" ht="15.75">
      <c r="A240" s="12" t="s">
        <v>12</v>
      </c>
      <c r="B240" s="14" t="s">
        <v>17</v>
      </c>
      <c r="C240" s="55" t="s">
        <v>322</v>
      </c>
      <c r="D240" s="62" t="s">
        <v>394</v>
      </c>
      <c r="E240" s="10" t="s">
        <v>39</v>
      </c>
      <c r="F240" s="84">
        <f>SUMIF('[1]POOL-joueus'!$D$5:$D$808,C240,'[1]POOL-joueus'!$E$5:$E$808)</f>
        <v>12</v>
      </c>
      <c r="G240" s="84">
        <f>SUMIF('[1]POOL-joueus'!$D$5:$D$808,C240,'[1]POOL-joueus'!$F$5:F$808)</f>
        <v>1</v>
      </c>
      <c r="H240" s="84">
        <f>SUMIF('[1]POOL-joueus'!$D$5:$D$808,C240,'[1]POOL-joueus'!$G$5:G$808)</f>
        <v>3</v>
      </c>
      <c r="I240" s="90">
        <f t="shared" si="8"/>
        <v>4</v>
      </c>
      <c r="J240" s="85">
        <f t="shared" si="9"/>
        <v>0.3333333333333333</v>
      </c>
      <c r="K240" s="30">
        <f>SUMIF('[1]Pool-gardien'!$D$5:$D$127,C240,'[1]Pool-gardien'!$F$5:$F$127)</f>
        <v>0</v>
      </c>
      <c r="L240" s="30">
        <f>SUMIF('[1]Pool-gardien'!$D$5:$D$127,C240,'[1]Pool-gardien'!$G$5:$G$127)</f>
        <v>0</v>
      </c>
      <c r="M240" s="30">
        <f>SUMIF('[1]Pool-gardien'!$D$5:$D$127,C240,'[1]Pool-gardien'!$H$5:$H$127)</f>
        <v>0</v>
      </c>
      <c r="N240" s="91">
        <f>SUMIF('[1]Pool-gardien'!$D$5:$D$127,C240,'[1]Pool-gardien'!$K$5:$K$127)</f>
        <v>0</v>
      </c>
      <c r="O240" s="30">
        <f>SUMIF('[1]Equipes-Pool'!$B$6:$B$35,C240,'[1]Equipes-Pool'!$D$6:$D$35)</f>
        <v>0</v>
      </c>
      <c r="P240" s="30">
        <f>SUMIF('[1]Equipes-Pool'!$B$6:$B$35,C240,'[1]Equipes-Pool'!$E$6:$E$35)</f>
        <v>0</v>
      </c>
      <c r="Q240" s="30">
        <f>SUMIF('[1]Equipes-Pool'!$B$6:$B$35,C240,'[1]Equipes-Pool'!$F$6:$F$35)</f>
        <v>0</v>
      </c>
      <c r="R240" s="91">
        <f>SUMIF('[1]Equipes-Pool'!$B$6:$B$35,C240,'[1]Equipes-Pool'!$G$6:$G$35)</f>
        <v>0</v>
      </c>
    </row>
    <row r="241" spans="1:18" ht="15.75">
      <c r="A241" s="18" t="s">
        <v>93</v>
      </c>
      <c r="B241" s="18" t="s">
        <v>50</v>
      </c>
      <c r="C241" s="68" t="s">
        <v>324</v>
      </c>
      <c r="D241" s="62" t="s">
        <v>394</v>
      </c>
      <c r="E241" s="10" t="s">
        <v>45</v>
      </c>
      <c r="F241" s="30">
        <f>SUMIF('[1]Pool-gardien'!$D$5:$D$127,C241,'[1]Pool-gardien'!$E$5:$E$127)</f>
        <v>0</v>
      </c>
      <c r="G241" s="30">
        <f>SUMIF('[1]Pool-gardien'!$D$5:$D$127,C241,'[1]Pool-gardien'!$I$5:$I$127)</f>
        <v>0</v>
      </c>
      <c r="H241" s="30">
        <f>SUMIF('[1]Pool-gardien'!$D$5:$D$127,C241,'[1]Pool-gardien'!$J$5:$J$127)</f>
        <v>0</v>
      </c>
      <c r="I241" s="91">
        <f t="shared" si="8"/>
        <v>0</v>
      </c>
      <c r="J241" s="81" t="e">
        <f t="shared" si="9"/>
        <v>#DIV/0!</v>
      </c>
      <c r="K241" s="30">
        <f>SUMIF('[1]Pool-gardien'!$D$5:$D$127,C241,'[1]Pool-gardien'!$F$5:$F$127)</f>
        <v>0</v>
      </c>
      <c r="L241" s="30">
        <f>SUMIF('[1]Pool-gardien'!$D$5:$D$127,C241,'[1]Pool-gardien'!$G$5:$G$127)</f>
        <v>0</v>
      </c>
      <c r="M241" s="30">
        <f>SUMIF('[1]Pool-gardien'!$D$5:$D$127,C241,'[1]Pool-gardien'!$H$5:$H$127)</f>
        <v>0</v>
      </c>
      <c r="N241" s="91">
        <f>SUMIF('[1]Pool-gardien'!$D$5:$D$127,C241,'[1]Pool-gardien'!$K$5:$K$127)</f>
        <v>0</v>
      </c>
      <c r="O241" s="30">
        <f>SUMIF('[1]Equipes-Pool'!$B$6:$B$35,C241,'[1]Equipes-Pool'!$D$6:$D$35)</f>
        <v>0</v>
      </c>
      <c r="P241" s="30">
        <f>SUMIF('[1]Equipes-Pool'!$B$6:$B$35,C241,'[1]Equipes-Pool'!$E$6:$E$35)</f>
        <v>0</v>
      </c>
      <c r="Q241" s="30">
        <f>SUMIF('[1]Equipes-Pool'!$B$6:$B$35,C241,'[1]Equipes-Pool'!$F$6:$F$35)</f>
        <v>0</v>
      </c>
      <c r="R241" s="91">
        <f>SUMIF('[1]Equipes-Pool'!$B$6:$B$35,C241,'[1]Equipes-Pool'!$G$6:$G$35)</f>
        <v>0</v>
      </c>
    </row>
    <row r="242" spans="1:18" ht="15.75">
      <c r="A242" s="12" t="s">
        <v>12</v>
      </c>
      <c r="B242" s="14" t="s">
        <v>81</v>
      </c>
      <c r="C242" s="55" t="s">
        <v>326</v>
      </c>
      <c r="D242" s="62" t="s">
        <v>394</v>
      </c>
      <c r="E242" s="10" t="s">
        <v>52</v>
      </c>
      <c r="F242" s="84">
        <f>SUMIF('[1]POOL-joueus'!$D$5:$D$808,C242,'[1]POOL-joueus'!$E$5:$E$808)</f>
        <v>52</v>
      </c>
      <c r="G242" s="84">
        <f>SUMIF('[1]POOL-joueus'!$D$5:$D$808,C242,'[1]POOL-joueus'!$F$5:F$808)</f>
        <v>11</v>
      </c>
      <c r="H242" s="84">
        <f>SUMIF('[1]POOL-joueus'!$D$5:$D$808,C242,'[1]POOL-joueus'!$G$5:G$808)</f>
        <v>13</v>
      </c>
      <c r="I242" s="90">
        <f t="shared" si="8"/>
        <v>24</v>
      </c>
      <c r="J242" s="85">
        <f t="shared" si="9"/>
        <v>0.46153846153846156</v>
      </c>
      <c r="K242" s="30">
        <f>SUMIF('[1]Pool-gardien'!$D$5:$D$127,C242,'[1]Pool-gardien'!$F$5:$F$127)</f>
        <v>0</v>
      </c>
      <c r="L242" s="30">
        <f>SUMIF('[1]Pool-gardien'!$D$5:$D$127,C242,'[1]Pool-gardien'!$G$5:$G$127)</f>
        <v>0</v>
      </c>
      <c r="M242" s="30">
        <f>SUMIF('[1]Pool-gardien'!$D$5:$D$127,C242,'[1]Pool-gardien'!$H$5:$H$127)</f>
        <v>0</v>
      </c>
      <c r="N242" s="91">
        <f>SUMIF('[1]Pool-gardien'!$D$5:$D$127,C242,'[1]Pool-gardien'!$K$5:$K$127)</f>
        <v>0</v>
      </c>
      <c r="O242" s="30">
        <f>SUMIF('[1]Equipes-Pool'!$B$6:$B$35,C242,'[1]Equipes-Pool'!$D$6:$D$35)</f>
        <v>0</v>
      </c>
      <c r="P242" s="30">
        <f>SUMIF('[1]Equipes-Pool'!$B$6:$B$35,C242,'[1]Equipes-Pool'!$E$6:$E$35)</f>
        <v>0</v>
      </c>
      <c r="Q242" s="30">
        <f>SUMIF('[1]Equipes-Pool'!$B$6:$B$35,C242,'[1]Equipes-Pool'!$F$6:$F$35)</f>
        <v>0</v>
      </c>
      <c r="R242" s="91">
        <f>SUMIF('[1]Equipes-Pool'!$B$6:$B$35,C242,'[1]Equipes-Pool'!$G$6:$G$35)</f>
        <v>0</v>
      </c>
    </row>
    <row r="243" spans="1:18" ht="15.75">
      <c r="A243" s="12" t="s">
        <v>12</v>
      </c>
      <c r="B243" s="14" t="s">
        <v>41</v>
      </c>
      <c r="C243" s="55" t="s">
        <v>328</v>
      </c>
      <c r="D243" s="62" t="s">
        <v>394</v>
      </c>
      <c r="E243" s="10" t="s">
        <v>27</v>
      </c>
      <c r="F243" s="84">
        <f>SUMIF('[1]POOL-joueus'!$D$5:$D$808,C243,'[1]POOL-joueus'!$E$5:$E$808)</f>
        <v>58</v>
      </c>
      <c r="G243" s="84">
        <f>SUMIF('[1]POOL-joueus'!$D$5:$D$808,C243,'[1]POOL-joueus'!$F$5:F$808)</f>
        <v>17</v>
      </c>
      <c r="H243" s="84">
        <f>SUMIF('[1]POOL-joueus'!$D$5:$D$808,C243,'[1]POOL-joueus'!$G$5:G$808)</f>
        <v>15</v>
      </c>
      <c r="I243" s="90">
        <f t="shared" si="8"/>
        <v>32</v>
      </c>
      <c r="J243" s="85">
        <f t="shared" si="9"/>
        <v>0.5517241379310345</v>
      </c>
      <c r="K243" s="30">
        <f>SUMIF('[1]Pool-gardien'!$D$5:$D$127,C243,'[1]Pool-gardien'!$F$5:$F$127)</f>
        <v>0</v>
      </c>
      <c r="L243" s="30">
        <f>SUMIF('[1]Pool-gardien'!$D$5:$D$127,C243,'[1]Pool-gardien'!$G$5:$G$127)</f>
        <v>0</v>
      </c>
      <c r="M243" s="30">
        <f>SUMIF('[1]Pool-gardien'!$D$5:$D$127,C243,'[1]Pool-gardien'!$H$5:$H$127)</f>
        <v>0</v>
      </c>
      <c r="N243" s="91">
        <f>SUMIF('[1]Pool-gardien'!$D$5:$D$127,C243,'[1]Pool-gardien'!$K$5:$K$127)</f>
        <v>0</v>
      </c>
      <c r="O243" s="30">
        <f>SUMIF('[1]Equipes-Pool'!$B$6:$B$35,C243,'[1]Equipes-Pool'!$D$6:$D$35)</f>
        <v>0</v>
      </c>
      <c r="P243" s="30">
        <f>SUMIF('[1]Equipes-Pool'!$B$6:$B$35,C243,'[1]Equipes-Pool'!$E$6:$E$35)</f>
        <v>0</v>
      </c>
      <c r="Q243" s="30">
        <f>SUMIF('[1]Equipes-Pool'!$B$6:$B$35,C243,'[1]Equipes-Pool'!$F$6:$F$35)</f>
        <v>0</v>
      </c>
      <c r="R243" s="91">
        <f>SUMIF('[1]Equipes-Pool'!$B$6:$B$35,C243,'[1]Equipes-Pool'!$G$6:$G$35)</f>
        <v>0</v>
      </c>
    </row>
    <row r="244" spans="1:18" ht="16.5" thickBot="1">
      <c r="A244" s="49" t="s">
        <v>33</v>
      </c>
      <c r="B244" s="50" t="s">
        <v>55</v>
      </c>
      <c r="C244" s="66" t="s">
        <v>331</v>
      </c>
      <c r="D244" s="64" t="s">
        <v>394</v>
      </c>
      <c r="E244" s="59" t="s">
        <v>65</v>
      </c>
      <c r="F244" s="84">
        <f>SUMIF('[1]POOL-joueus'!$D$5:$D$808,C244,'[1]POOL-joueus'!$E$5:$E$808)</f>
        <v>66</v>
      </c>
      <c r="G244" s="84">
        <f>SUMIF('[1]POOL-joueus'!$D$5:$D$808,C244,'[1]POOL-joueus'!$F$5:F$808)</f>
        <v>8</v>
      </c>
      <c r="H244" s="84">
        <f>SUMIF('[1]POOL-joueus'!$D$5:$D$808,C244,'[1]POOL-joueus'!$G$5:G$808)</f>
        <v>22</v>
      </c>
      <c r="I244" s="90">
        <f t="shared" si="8"/>
        <v>30</v>
      </c>
      <c r="J244" s="85">
        <f t="shared" si="9"/>
        <v>0.45454545454545453</v>
      </c>
      <c r="K244" s="30">
        <f>SUMIF('[1]Pool-gardien'!$D$5:$D$127,C244,'[1]Pool-gardien'!$F$5:$F$127)</f>
        <v>0</v>
      </c>
      <c r="L244" s="30">
        <f>SUMIF('[1]Pool-gardien'!$D$5:$D$127,C244,'[1]Pool-gardien'!$G$5:$G$127)</f>
        <v>0</v>
      </c>
      <c r="M244" s="30">
        <f>SUMIF('[1]Pool-gardien'!$D$5:$D$127,C244,'[1]Pool-gardien'!$H$5:$H$127)</f>
        <v>0</v>
      </c>
      <c r="N244" s="91">
        <f>SUMIF('[1]Pool-gardien'!$D$5:$D$127,C244,'[1]Pool-gardien'!$K$5:$K$127)</f>
        <v>0</v>
      </c>
      <c r="O244" s="30">
        <f>SUMIF('[1]Equipes-Pool'!$B$6:$B$35,C244,'[1]Equipes-Pool'!$D$6:$D$35)</f>
        <v>0</v>
      </c>
      <c r="P244" s="30">
        <f>SUMIF('[1]Equipes-Pool'!$B$6:$B$35,C244,'[1]Equipes-Pool'!$E$6:$E$35)</f>
        <v>0</v>
      </c>
      <c r="Q244" s="30">
        <f>SUMIF('[1]Equipes-Pool'!$B$6:$B$35,C244,'[1]Equipes-Pool'!$F$6:$F$35)</f>
        <v>0</v>
      </c>
      <c r="R244" s="91">
        <f>SUMIF('[1]Equipes-Pool'!$B$6:$B$35,C244,'[1]Equipes-Pool'!$G$6:$G$35)</f>
        <v>0</v>
      </c>
    </row>
    <row r="245" spans="1:18" ht="15.75">
      <c r="A245" s="20" t="s">
        <v>12</v>
      </c>
      <c r="B245" s="21" t="s">
        <v>109</v>
      </c>
      <c r="C245" s="67" t="s">
        <v>334</v>
      </c>
      <c r="D245" s="63" t="s">
        <v>395</v>
      </c>
      <c r="E245" s="65" t="s">
        <v>16</v>
      </c>
      <c r="F245" s="84">
        <f>SUMIF('[1]POOL-joueus'!$D$5:$D$808,C245,'[1]POOL-joueus'!$E$5:$E$808)</f>
        <v>43</v>
      </c>
      <c r="G245" s="84">
        <f>SUMIF('[1]POOL-joueus'!$D$5:$D$808,C245,'[1]POOL-joueus'!$F$5:F$808)</f>
        <v>9</v>
      </c>
      <c r="H245" s="84">
        <f>SUMIF('[1]POOL-joueus'!$D$5:$D$808,C245,'[1]POOL-joueus'!$G$5:G$808)</f>
        <v>9</v>
      </c>
      <c r="I245" s="90">
        <f t="shared" si="8"/>
        <v>18</v>
      </c>
      <c r="J245" s="85">
        <f t="shared" si="9"/>
        <v>0.4186046511627907</v>
      </c>
      <c r="K245" s="30">
        <f>SUMIF('[1]Pool-gardien'!$D$5:$D$127,C245,'[1]Pool-gardien'!$F$5:$F$127)</f>
        <v>0</v>
      </c>
      <c r="L245" s="30">
        <f>SUMIF('[1]Pool-gardien'!$D$5:$D$127,C245,'[1]Pool-gardien'!$G$5:$G$127)</f>
        <v>0</v>
      </c>
      <c r="M245" s="30">
        <f>SUMIF('[1]Pool-gardien'!$D$5:$D$127,C245,'[1]Pool-gardien'!$H$5:$H$127)</f>
        <v>0</v>
      </c>
      <c r="N245" s="91">
        <f>SUMIF('[1]Pool-gardien'!$D$5:$D$127,C245,'[1]Pool-gardien'!$K$5:$K$127)</f>
        <v>0</v>
      </c>
      <c r="O245" s="30">
        <f>SUMIF('[1]Equipes-Pool'!$B$6:$B$35,C245,'[1]Equipes-Pool'!$D$6:$D$35)</f>
        <v>0</v>
      </c>
      <c r="P245" s="30">
        <f>SUMIF('[1]Equipes-Pool'!$B$6:$B$35,C245,'[1]Equipes-Pool'!$E$6:$E$35)</f>
        <v>0</v>
      </c>
      <c r="Q245" s="30">
        <f>SUMIF('[1]Equipes-Pool'!$B$6:$B$35,C245,'[1]Equipes-Pool'!$F$6:$F$35)</f>
        <v>0</v>
      </c>
      <c r="R245" s="91">
        <f>SUMIF('[1]Equipes-Pool'!$B$6:$B$35,C245,'[1]Equipes-Pool'!$G$6:$G$35)</f>
        <v>0</v>
      </c>
    </row>
    <row r="246" spans="1:18" ht="15.75">
      <c r="A246" s="12" t="s">
        <v>12</v>
      </c>
      <c r="B246" s="14" t="s">
        <v>125</v>
      </c>
      <c r="C246" s="55" t="s">
        <v>336</v>
      </c>
      <c r="D246" s="62" t="s">
        <v>395</v>
      </c>
      <c r="E246" s="10" t="s">
        <v>23</v>
      </c>
      <c r="F246" s="84">
        <f>SUMIF('[1]POOL-joueus'!$D$5:$D$808,C246,'[1]POOL-joueus'!$E$5:$E$808)</f>
        <v>66</v>
      </c>
      <c r="G246" s="84">
        <f>SUMIF('[1]POOL-joueus'!$D$5:$D$808,C246,'[1]POOL-joueus'!$F$5:F$808)</f>
        <v>16</v>
      </c>
      <c r="H246" s="84">
        <f>SUMIF('[1]POOL-joueus'!$D$5:$D$808,C246,'[1]POOL-joueus'!$G$5:G$808)</f>
        <v>10</v>
      </c>
      <c r="I246" s="90">
        <f t="shared" si="8"/>
        <v>26</v>
      </c>
      <c r="J246" s="85">
        <f t="shared" si="9"/>
        <v>0.3939393939393939</v>
      </c>
      <c r="K246" s="30">
        <f>SUMIF('[1]Pool-gardien'!$D$5:$D$127,C246,'[1]Pool-gardien'!$F$5:$F$127)</f>
        <v>0</v>
      </c>
      <c r="L246" s="30">
        <f>SUMIF('[1]Pool-gardien'!$D$5:$D$127,C246,'[1]Pool-gardien'!$G$5:$G$127)</f>
        <v>0</v>
      </c>
      <c r="M246" s="30">
        <f>SUMIF('[1]Pool-gardien'!$D$5:$D$127,C246,'[1]Pool-gardien'!$H$5:$H$127)</f>
        <v>0</v>
      </c>
      <c r="N246" s="91">
        <f>SUMIF('[1]Pool-gardien'!$D$5:$D$127,C246,'[1]Pool-gardien'!$K$5:$K$127)</f>
        <v>0</v>
      </c>
      <c r="O246" s="30">
        <f>SUMIF('[1]Equipes-Pool'!$B$6:$B$35,C246,'[1]Equipes-Pool'!$D$6:$D$35)</f>
        <v>0</v>
      </c>
      <c r="P246" s="30">
        <f>SUMIF('[1]Equipes-Pool'!$B$6:$B$35,C246,'[1]Equipes-Pool'!$E$6:$E$35)</f>
        <v>0</v>
      </c>
      <c r="Q246" s="30">
        <f>SUMIF('[1]Equipes-Pool'!$B$6:$B$35,C246,'[1]Equipes-Pool'!$F$6:$F$35)</f>
        <v>0</v>
      </c>
      <c r="R246" s="91">
        <f>SUMIF('[1]Equipes-Pool'!$B$6:$B$35,C246,'[1]Equipes-Pool'!$G$6:$G$35)</f>
        <v>0</v>
      </c>
    </row>
    <row r="247" spans="1:18" ht="15.75">
      <c r="A247" s="18" t="s">
        <v>93</v>
      </c>
      <c r="B247" s="18" t="s">
        <v>29</v>
      </c>
      <c r="C247" s="68" t="s">
        <v>338</v>
      </c>
      <c r="D247" s="62" t="s">
        <v>395</v>
      </c>
      <c r="E247" s="10" t="s">
        <v>32</v>
      </c>
      <c r="F247" s="30">
        <f>SUMIF('[1]Pool-gardien'!$D$5:$D$127,C247,'[1]Pool-gardien'!$E$5:$E$127)</f>
        <v>0</v>
      </c>
      <c r="G247" s="30">
        <f>SUMIF('[1]Pool-gardien'!$D$5:$D$127,C247,'[1]Pool-gardien'!$I$5:$I$127)</f>
        <v>0</v>
      </c>
      <c r="H247" s="30">
        <f>SUMIF('[1]Pool-gardien'!$D$5:$D$127,C247,'[1]Pool-gardien'!$J$5:$J$127)</f>
        <v>0</v>
      </c>
      <c r="I247" s="91">
        <f t="shared" si="8"/>
        <v>0</v>
      </c>
      <c r="J247" s="81" t="e">
        <f t="shared" si="9"/>
        <v>#DIV/0!</v>
      </c>
      <c r="K247" s="30">
        <f>SUMIF('[1]Pool-gardien'!$D$5:$D$127,C247,'[1]Pool-gardien'!$F$5:$F$127)</f>
        <v>0</v>
      </c>
      <c r="L247" s="30">
        <f>SUMIF('[1]Pool-gardien'!$D$5:$D$127,C247,'[1]Pool-gardien'!$G$5:$G$127)</f>
        <v>0</v>
      </c>
      <c r="M247" s="30">
        <f>SUMIF('[1]Pool-gardien'!$D$5:$D$127,C247,'[1]Pool-gardien'!$H$5:$H$127)</f>
        <v>0</v>
      </c>
      <c r="N247" s="91">
        <f>SUMIF('[1]Pool-gardien'!$D$5:$D$127,C247,'[1]Pool-gardien'!$K$5:$K$127)</f>
        <v>0</v>
      </c>
      <c r="O247" s="30">
        <f>SUMIF('[1]Equipes-Pool'!$B$6:$B$35,C247,'[1]Equipes-Pool'!$D$6:$D$35)</f>
        <v>0</v>
      </c>
      <c r="P247" s="30">
        <f>SUMIF('[1]Equipes-Pool'!$B$6:$B$35,C247,'[1]Equipes-Pool'!$E$6:$E$35)</f>
        <v>0</v>
      </c>
      <c r="Q247" s="30">
        <f>SUMIF('[1]Equipes-Pool'!$B$6:$B$35,C247,'[1]Equipes-Pool'!$F$6:$F$35)</f>
        <v>0</v>
      </c>
      <c r="R247" s="91">
        <f>SUMIF('[1]Equipes-Pool'!$B$6:$B$35,C247,'[1]Equipes-Pool'!$G$6:$G$35)</f>
        <v>0</v>
      </c>
    </row>
    <row r="248" spans="1:18" ht="15.75">
      <c r="A248" s="20" t="s">
        <v>40</v>
      </c>
      <c r="B248" s="21" t="s">
        <v>36</v>
      </c>
      <c r="C248" s="55" t="s">
        <v>340</v>
      </c>
      <c r="D248" s="62" t="s">
        <v>395</v>
      </c>
      <c r="E248" s="10" t="s">
        <v>39</v>
      </c>
      <c r="F248" s="84">
        <f>SUMIF('[1]POOL-joueus'!$D$5:$D$808,C248,'[1]POOL-joueus'!$E$5:$E$808)</f>
        <v>12</v>
      </c>
      <c r="G248" s="84">
        <f>SUMIF('[1]POOL-joueus'!$D$5:$D$808,C248,'[1]POOL-joueus'!$F$5:F$808)</f>
        <v>0</v>
      </c>
      <c r="H248" s="84">
        <f>SUMIF('[1]POOL-joueus'!$D$5:$D$808,C248,'[1]POOL-joueus'!$G$5:G$808)</f>
        <v>3</v>
      </c>
      <c r="I248" s="90">
        <f t="shared" si="8"/>
        <v>3</v>
      </c>
      <c r="J248" s="85">
        <f t="shared" si="9"/>
        <v>0.25</v>
      </c>
      <c r="K248" s="30">
        <f>SUMIF('[1]Pool-gardien'!$D$5:$D$127,C248,'[1]Pool-gardien'!$F$5:$F$127)</f>
        <v>0</v>
      </c>
      <c r="L248" s="30">
        <f>SUMIF('[1]Pool-gardien'!$D$5:$D$127,C248,'[1]Pool-gardien'!$G$5:$G$127)</f>
        <v>0</v>
      </c>
      <c r="M248" s="30">
        <f>SUMIF('[1]Pool-gardien'!$D$5:$D$127,C248,'[1]Pool-gardien'!$H$5:$H$127)</f>
        <v>0</v>
      </c>
      <c r="N248" s="91">
        <f>SUMIF('[1]Pool-gardien'!$D$5:$D$127,C248,'[1]Pool-gardien'!$K$5:$K$127)</f>
        <v>0</v>
      </c>
      <c r="O248" s="30">
        <f>SUMIF('[1]Equipes-Pool'!$B$6:$B$35,C248,'[1]Equipes-Pool'!$D$6:$D$35)</f>
        <v>0</v>
      </c>
      <c r="P248" s="30">
        <f>SUMIF('[1]Equipes-Pool'!$B$6:$B$35,C248,'[1]Equipes-Pool'!$E$6:$E$35)</f>
        <v>0</v>
      </c>
      <c r="Q248" s="30">
        <f>SUMIF('[1]Equipes-Pool'!$B$6:$B$35,C248,'[1]Equipes-Pool'!$F$6:$F$35)</f>
        <v>0</v>
      </c>
      <c r="R248" s="91">
        <f>SUMIF('[1]Equipes-Pool'!$B$6:$B$35,C248,'[1]Equipes-Pool'!$G$6:$G$35)</f>
        <v>0</v>
      </c>
    </row>
    <row r="249" spans="1:18" ht="15.75">
      <c r="A249" s="12" t="s">
        <v>24</v>
      </c>
      <c r="B249" s="14" t="s">
        <v>29</v>
      </c>
      <c r="C249" s="55" t="s">
        <v>342</v>
      </c>
      <c r="D249" s="62" t="s">
        <v>395</v>
      </c>
      <c r="E249" s="10" t="s">
        <v>45</v>
      </c>
      <c r="F249" s="30">
        <f>SUMIF('[1]POOL-joueus'!$D$5:$D$808,C249,'[1]POOL-joueus'!$E$5:$E$808)</f>
        <v>20</v>
      </c>
      <c r="G249" s="30">
        <f>SUMIF('[1]POOL-joueus'!$D$5:$D$808,C249,'[1]POOL-joueus'!$F$5:F$808)</f>
        <v>2</v>
      </c>
      <c r="H249" s="30">
        <f>SUMIF('[1]POOL-joueus'!$D$5:$D$808,C249,'[1]POOL-joueus'!$G$5:G$808)</f>
        <v>5</v>
      </c>
      <c r="I249" s="91">
        <f t="shared" si="8"/>
        <v>7</v>
      </c>
      <c r="J249" s="81">
        <f t="shared" si="9"/>
        <v>0.35</v>
      </c>
      <c r="K249" s="30">
        <f>SUMIF('[1]Pool-gardien'!$D$5:$D$127,C249,'[1]Pool-gardien'!$F$5:$F$127)</f>
        <v>0</v>
      </c>
      <c r="L249" s="30">
        <f>SUMIF('[1]Pool-gardien'!$D$5:$D$127,C249,'[1]Pool-gardien'!$G$5:$G$127)</f>
        <v>0</v>
      </c>
      <c r="M249" s="30">
        <f>SUMIF('[1]Pool-gardien'!$D$5:$D$127,C249,'[1]Pool-gardien'!$H$5:$H$127)</f>
        <v>0</v>
      </c>
      <c r="N249" s="91">
        <f>SUMIF('[1]Pool-gardien'!$D$5:$D$127,C249,'[1]Pool-gardien'!$K$5:$K$127)</f>
        <v>0</v>
      </c>
      <c r="O249" s="30">
        <f>SUMIF('[1]Equipes-Pool'!$B$6:$B$35,C249,'[1]Equipes-Pool'!$D$6:$D$35)</f>
        <v>0</v>
      </c>
      <c r="P249" s="30">
        <f>SUMIF('[1]Equipes-Pool'!$B$6:$B$35,C249,'[1]Equipes-Pool'!$E$6:$E$35)</f>
        <v>0</v>
      </c>
      <c r="Q249" s="30">
        <f>SUMIF('[1]Equipes-Pool'!$B$6:$B$35,C249,'[1]Equipes-Pool'!$F$6:$F$35)</f>
        <v>0</v>
      </c>
      <c r="R249" s="91">
        <f>SUMIF('[1]Equipes-Pool'!$B$6:$B$35,C249,'[1]Equipes-Pool'!$G$6:$G$35)</f>
        <v>0</v>
      </c>
    </row>
    <row r="250" spans="1:18" ht="15.75">
      <c r="A250" s="12" t="s">
        <v>364</v>
      </c>
      <c r="B250" s="14" t="s">
        <v>97</v>
      </c>
      <c r="C250" s="80" t="s">
        <v>424</v>
      </c>
      <c r="D250" s="62" t="s">
        <v>395</v>
      </c>
      <c r="E250" s="10" t="s">
        <v>52</v>
      </c>
      <c r="F250" s="83">
        <f>SUMIF('[1]Equipes-Pool'!$B$6:$B$35,C250,'[1]Equipes-Pool'!$C$6:$C$35)</f>
        <v>65</v>
      </c>
      <c r="G250" s="30">
        <f>SUMIF('[1]POOL-joueus'!$D$5:$D$808,C250,'[1]POOL-joueus'!$F$5:F$808)</f>
        <v>0</v>
      </c>
      <c r="H250" s="30">
        <f>SUMIF('[1]POOL-joueus'!$D$5:$D$808,C250,'[1]POOL-joueus'!$G$5:G$808)</f>
        <v>0</v>
      </c>
      <c r="I250" s="91">
        <f t="shared" si="8"/>
        <v>0</v>
      </c>
      <c r="J250" s="81">
        <f t="shared" si="9"/>
        <v>0</v>
      </c>
      <c r="K250" s="30">
        <f>SUMIF('[1]Pool-gardien'!$D$5:$D$127,C250,'[1]Pool-gardien'!$F$5:$F$127)</f>
        <v>0</v>
      </c>
      <c r="L250" s="30">
        <f>SUMIF('[1]Pool-gardien'!$D$5:$D$127,C250,'[1]Pool-gardien'!$G$5:$G$127)</f>
        <v>0</v>
      </c>
      <c r="M250" s="30">
        <f>SUMIF('[1]Pool-gardien'!$D$5:$D$127,C250,'[1]Pool-gardien'!$H$5:$H$127)</f>
        <v>0</v>
      </c>
      <c r="N250" s="91">
        <f>SUMIF('[1]Pool-gardien'!$D$5:$D$127,C250,'[1]Pool-gardien'!$K$5:$K$127)</f>
        <v>0</v>
      </c>
      <c r="O250" s="83">
        <f>SUMIF('[1]Equipes-Pool'!$B$6:$B$35,C250,'[1]Equipes-Pool'!$D$6:$D$35)</f>
        <v>69</v>
      </c>
      <c r="P250" s="83">
        <f>SUMIF('[1]Equipes-Pool'!$B$6:$B$35,C250,'[1]Equipes-Pool'!$E$6:$E$35)</f>
        <v>167</v>
      </c>
      <c r="Q250" s="83">
        <f>SUMIF('[1]Equipes-Pool'!$B$6:$B$35,C250,'[1]Equipes-Pool'!$F$6:$F$35)</f>
        <v>157</v>
      </c>
      <c r="R250" s="93">
        <f>SUMIF('[1]Equipes-Pool'!$B$6:$B$35,C250,'[1]Equipes-Pool'!$G$6:$G$35)</f>
        <v>79</v>
      </c>
    </row>
    <row r="251" spans="1:18" ht="15.75">
      <c r="A251" s="18" t="s">
        <v>93</v>
      </c>
      <c r="B251" s="18" t="s">
        <v>186</v>
      </c>
      <c r="C251" s="70" t="s">
        <v>345</v>
      </c>
      <c r="D251" s="62" t="s">
        <v>395</v>
      </c>
      <c r="E251" s="10" t="s">
        <v>27</v>
      </c>
      <c r="F251" s="30">
        <f>SUMIF('[1]Pool-gardien'!$D$5:$D$127,C251,'[1]Pool-gardien'!$E$5:$E$127)</f>
        <v>2</v>
      </c>
      <c r="G251" s="30">
        <f>SUMIF('[1]Pool-gardien'!$D$5:$D$127,C251,'[1]Pool-gardien'!$I$5:$I$127)</f>
        <v>0</v>
      </c>
      <c r="H251" s="30">
        <f>SUMIF('[1]Pool-gardien'!$D$5:$D$127,C251,'[1]Pool-gardien'!$J$5:$J$127)</f>
        <v>0</v>
      </c>
      <c r="I251" s="91">
        <f t="shared" si="8"/>
        <v>0</v>
      </c>
      <c r="J251" s="81">
        <f t="shared" si="9"/>
        <v>0</v>
      </c>
      <c r="K251" s="30">
        <f>SUMIF('[1]Pool-gardien'!$D$5:$D$127,C251,'[1]Pool-gardien'!$F$5:$F$127)</f>
        <v>0</v>
      </c>
      <c r="L251" s="30">
        <f>SUMIF('[1]Pool-gardien'!$D$5:$D$127,C251,'[1]Pool-gardien'!$G$5:$G$127)</f>
        <v>0</v>
      </c>
      <c r="M251" s="30">
        <f>SUMIF('[1]Pool-gardien'!$D$5:$D$127,C251,'[1]Pool-gardien'!$H$5:$H$127)</f>
        <v>0</v>
      </c>
      <c r="N251" s="91">
        <f>SUMIF('[1]Pool-gardien'!$D$5:$D$127,C251,'[1]Pool-gardien'!$K$5:$K$127)</f>
        <v>0</v>
      </c>
      <c r="O251" s="30">
        <f>SUMIF('[1]Equipes-Pool'!$B$6:$B$35,C251,'[1]Equipes-Pool'!$D$6:$D$35)</f>
        <v>0</v>
      </c>
      <c r="P251" s="30">
        <f>SUMIF('[1]Equipes-Pool'!$B$6:$B$35,C251,'[1]Equipes-Pool'!$E$6:$E$35)</f>
        <v>0</v>
      </c>
      <c r="Q251" s="30">
        <f>SUMIF('[1]Equipes-Pool'!$B$6:$B$35,C251,'[1]Equipes-Pool'!$F$6:$F$35)</f>
        <v>0</v>
      </c>
      <c r="R251" s="91">
        <f>SUMIF('[1]Equipes-Pool'!$B$6:$B$35,C251,'[1]Equipes-Pool'!$G$6:$G$35)</f>
        <v>0</v>
      </c>
    </row>
    <row r="252" spans="1:18" ht="16.5" thickBot="1">
      <c r="A252" s="49" t="s">
        <v>12</v>
      </c>
      <c r="B252" s="50" t="s">
        <v>78</v>
      </c>
      <c r="C252" s="66" t="s">
        <v>347</v>
      </c>
      <c r="D252" s="64" t="s">
        <v>395</v>
      </c>
      <c r="E252" s="59" t="s">
        <v>65</v>
      </c>
      <c r="F252" s="84">
        <f>SUMIF('[1]POOL-joueus'!$D$5:$D$808,C252,'[1]POOL-joueus'!$E$5:$E$808)</f>
        <v>64</v>
      </c>
      <c r="G252" s="84">
        <f>SUMIF('[1]POOL-joueus'!$D$5:$D$808,C252,'[1]POOL-joueus'!$F$5:F$808)</f>
        <v>11</v>
      </c>
      <c r="H252" s="84">
        <f>SUMIF('[1]POOL-joueus'!$D$5:$D$808,C252,'[1]POOL-joueus'!$G$5:G$808)</f>
        <v>27</v>
      </c>
      <c r="I252" s="90">
        <f t="shared" si="8"/>
        <v>38</v>
      </c>
      <c r="J252" s="85">
        <f t="shared" si="9"/>
        <v>0.59375</v>
      </c>
      <c r="K252" s="30">
        <f>SUMIF('[1]Pool-gardien'!$D$5:$D$127,C252,'[1]Pool-gardien'!$F$5:$F$127)</f>
        <v>0</v>
      </c>
      <c r="L252" s="30">
        <f>SUMIF('[1]Pool-gardien'!$D$5:$D$127,C252,'[1]Pool-gardien'!$G$5:$G$127)</f>
        <v>0</v>
      </c>
      <c r="M252" s="30">
        <f>SUMIF('[1]Pool-gardien'!$D$5:$D$127,C252,'[1]Pool-gardien'!$H$5:$H$127)</f>
        <v>0</v>
      </c>
      <c r="N252" s="91">
        <f>SUMIF('[1]Pool-gardien'!$D$5:$D$127,C252,'[1]Pool-gardien'!$K$5:$K$127)</f>
        <v>0</v>
      </c>
      <c r="O252" s="30">
        <f>SUMIF('[1]Equipes-Pool'!$B$6:$B$35,C252,'[1]Equipes-Pool'!$D$6:$D$35)</f>
        <v>0</v>
      </c>
      <c r="P252" s="30">
        <f>SUMIF('[1]Equipes-Pool'!$B$6:$B$35,C252,'[1]Equipes-Pool'!$E$6:$E$35)</f>
        <v>0</v>
      </c>
      <c r="Q252" s="30">
        <f>SUMIF('[1]Equipes-Pool'!$B$6:$B$35,C252,'[1]Equipes-Pool'!$F$6:$F$35)</f>
        <v>0</v>
      </c>
      <c r="R252" s="91">
        <f>SUMIF('[1]Equipes-Pool'!$B$6:$B$35,C252,'[1]Equipes-Pool'!$G$6:$G$35)</f>
        <v>0</v>
      </c>
    </row>
    <row r="253" spans="1:18" ht="15.75">
      <c r="A253" s="20" t="s">
        <v>40</v>
      </c>
      <c r="B253" s="21" t="s">
        <v>91</v>
      </c>
      <c r="C253" s="67" t="s">
        <v>335</v>
      </c>
      <c r="D253" s="63" t="s">
        <v>396</v>
      </c>
      <c r="E253" s="65" t="s">
        <v>16</v>
      </c>
      <c r="F253" s="84">
        <f>SUMIF('[1]POOL-joueus'!$D$5:$D$808,C253,'[1]POOL-joueus'!$E$5:$E$808)</f>
        <v>55</v>
      </c>
      <c r="G253" s="84">
        <f>SUMIF('[1]POOL-joueus'!$D$5:$D$808,C253,'[1]POOL-joueus'!$F$5:F$808)</f>
        <v>14</v>
      </c>
      <c r="H253" s="84">
        <f>SUMIF('[1]POOL-joueus'!$D$5:$D$808,C253,'[1]POOL-joueus'!$G$5:G$808)</f>
        <v>7</v>
      </c>
      <c r="I253" s="90">
        <f t="shared" si="8"/>
        <v>21</v>
      </c>
      <c r="J253" s="85">
        <f t="shared" si="9"/>
        <v>0.38181818181818183</v>
      </c>
      <c r="K253" s="30">
        <f>SUMIF('[1]Pool-gardien'!$D$5:$D$127,C253,'[1]Pool-gardien'!$F$5:$F$127)</f>
        <v>0</v>
      </c>
      <c r="L253" s="30">
        <f>SUMIF('[1]Pool-gardien'!$D$5:$D$127,C253,'[1]Pool-gardien'!$G$5:$G$127)</f>
        <v>0</v>
      </c>
      <c r="M253" s="30">
        <f>SUMIF('[1]Pool-gardien'!$D$5:$D$127,C253,'[1]Pool-gardien'!$H$5:$H$127)</f>
        <v>0</v>
      </c>
      <c r="N253" s="91">
        <f>SUMIF('[1]Pool-gardien'!$D$5:$D$127,C253,'[1]Pool-gardien'!$K$5:$K$127)</f>
        <v>0</v>
      </c>
      <c r="O253" s="30">
        <f>SUMIF('[1]Equipes-Pool'!$B$6:$B$35,C253,'[1]Equipes-Pool'!$D$6:$D$35)</f>
        <v>0</v>
      </c>
      <c r="P253" s="30">
        <f>SUMIF('[1]Equipes-Pool'!$B$6:$B$35,C253,'[1]Equipes-Pool'!$E$6:$E$35)</f>
        <v>0</v>
      </c>
      <c r="Q253" s="30">
        <f>SUMIF('[1]Equipes-Pool'!$B$6:$B$35,C253,'[1]Equipes-Pool'!$F$6:$F$35)</f>
        <v>0</v>
      </c>
      <c r="R253" s="91">
        <f>SUMIF('[1]Equipes-Pool'!$B$6:$B$35,C253,'[1]Equipes-Pool'!$G$6:$G$35)</f>
        <v>0</v>
      </c>
    </row>
    <row r="254" spans="1:18" ht="15.75">
      <c r="A254" s="18" t="s">
        <v>93</v>
      </c>
      <c r="B254" s="18" t="s">
        <v>91</v>
      </c>
      <c r="C254" s="68" t="s">
        <v>337</v>
      </c>
      <c r="D254" s="62" t="s">
        <v>396</v>
      </c>
      <c r="E254" s="10" t="s">
        <v>23</v>
      </c>
      <c r="F254" s="30">
        <f>SUMIF('[1]Pool-gardien'!$D$5:$D$127,C254,'[1]Pool-gardien'!$E$5:$E$127)</f>
        <v>8</v>
      </c>
      <c r="G254" s="30">
        <f>SUMIF('[1]Pool-gardien'!$D$5:$D$127,C254,'[1]Pool-gardien'!$I$5:$I$127)</f>
        <v>0</v>
      </c>
      <c r="H254" s="30">
        <f>SUMIF('[1]Pool-gardien'!$D$5:$D$127,C254,'[1]Pool-gardien'!$J$5:$J$127)</f>
        <v>0</v>
      </c>
      <c r="I254" s="91">
        <f t="shared" si="8"/>
        <v>0</v>
      </c>
      <c r="J254" s="81">
        <f t="shared" si="9"/>
        <v>0</v>
      </c>
      <c r="K254" s="30">
        <f>SUMIF('[1]Pool-gardien'!$D$5:$D$127,C254,'[1]Pool-gardien'!$F$5:$F$127)</f>
        <v>2</v>
      </c>
      <c r="L254" s="30">
        <f>SUMIF('[1]Pool-gardien'!$D$5:$D$127,C254,'[1]Pool-gardien'!$G$5:$G$127)</f>
        <v>1</v>
      </c>
      <c r="M254" s="30">
        <f>SUMIF('[1]Pool-gardien'!$D$5:$D$127,C254,'[1]Pool-gardien'!$H$5:$H$127)</f>
        <v>0</v>
      </c>
      <c r="N254" s="91">
        <f>SUMIF('[1]Pool-gardien'!$D$5:$D$127,C254,'[1]Pool-gardien'!$K$5:$K$127)</f>
        <v>5</v>
      </c>
      <c r="O254" s="30">
        <f>SUMIF('[1]Equipes-Pool'!$B$6:$B$35,C254,'[1]Equipes-Pool'!$D$6:$D$35)</f>
        <v>0</v>
      </c>
      <c r="P254" s="30">
        <f>SUMIF('[1]Equipes-Pool'!$B$6:$B$35,C254,'[1]Equipes-Pool'!$E$6:$E$35)</f>
        <v>0</v>
      </c>
      <c r="Q254" s="30">
        <f>SUMIF('[1]Equipes-Pool'!$B$6:$B$35,C254,'[1]Equipes-Pool'!$F$6:$F$35)</f>
        <v>0</v>
      </c>
      <c r="R254" s="91">
        <f>SUMIF('[1]Equipes-Pool'!$B$6:$B$35,C254,'[1]Equipes-Pool'!$G$6:$G$35)</f>
        <v>0</v>
      </c>
    </row>
    <row r="255" spans="1:18" ht="15.75">
      <c r="A255" s="12" t="s">
        <v>19</v>
      </c>
      <c r="B255" s="14" t="s">
        <v>29</v>
      </c>
      <c r="C255" s="55" t="s">
        <v>339</v>
      </c>
      <c r="D255" s="62" t="s">
        <v>396</v>
      </c>
      <c r="E255" s="10" t="s">
        <v>32</v>
      </c>
      <c r="F255" s="30">
        <f>SUMIF('[1]POOL-joueus'!$D$5:$D$808,C255,'[1]POOL-joueus'!$E$5:$E$808)</f>
        <v>0</v>
      </c>
      <c r="G255" s="30">
        <f>SUMIF('[1]POOL-joueus'!$D$5:$D$808,C255,'[1]POOL-joueus'!$F$5:F$808)</f>
        <v>0</v>
      </c>
      <c r="H255" s="30">
        <f>SUMIF('[1]POOL-joueus'!$D$5:$D$808,C255,'[1]POOL-joueus'!$G$5:G$808)</f>
        <v>0</v>
      </c>
      <c r="I255" s="91">
        <f t="shared" si="8"/>
        <v>0</v>
      </c>
      <c r="J255" s="81" t="e">
        <f t="shared" si="9"/>
        <v>#DIV/0!</v>
      </c>
      <c r="K255" s="30">
        <f>SUMIF('[1]Pool-gardien'!$D$5:$D$127,C255,'[1]Pool-gardien'!$F$5:$F$127)</f>
        <v>0</v>
      </c>
      <c r="L255" s="30">
        <f>SUMIF('[1]Pool-gardien'!$D$5:$D$127,C255,'[1]Pool-gardien'!$G$5:$G$127)</f>
        <v>0</v>
      </c>
      <c r="M255" s="30">
        <f>SUMIF('[1]Pool-gardien'!$D$5:$D$127,C255,'[1]Pool-gardien'!$H$5:$H$127)</f>
        <v>0</v>
      </c>
      <c r="N255" s="91">
        <f>SUMIF('[1]Pool-gardien'!$D$5:$D$127,C255,'[1]Pool-gardien'!$K$5:$K$127)</f>
        <v>0</v>
      </c>
      <c r="O255" s="30">
        <f>SUMIF('[1]Equipes-Pool'!$B$6:$B$35,C255,'[1]Equipes-Pool'!$D$6:$D$35)</f>
        <v>0</v>
      </c>
      <c r="P255" s="30">
        <f>SUMIF('[1]Equipes-Pool'!$B$6:$B$35,C255,'[1]Equipes-Pool'!$E$6:$E$35)</f>
        <v>0</v>
      </c>
      <c r="Q255" s="30">
        <f>SUMIF('[1]Equipes-Pool'!$B$6:$B$35,C255,'[1]Equipes-Pool'!$F$6:$F$35)</f>
        <v>0</v>
      </c>
      <c r="R255" s="91">
        <f>SUMIF('[1]Equipes-Pool'!$B$6:$B$35,C255,'[1]Equipes-Pool'!$G$6:$G$35)</f>
        <v>0</v>
      </c>
    </row>
    <row r="256" spans="1:18" ht="15.75">
      <c r="A256" s="12" t="s">
        <v>24</v>
      </c>
      <c r="B256" s="14" t="s">
        <v>111</v>
      </c>
      <c r="C256" s="55" t="s">
        <v>341</v>
      </c>
      <c r="D256" s="62" t="s">
        <v>396</v>
      </c>
      <c r="E256" s="10" t="s">
        <v>39</v>
      </c>
      <c r="F256" s="30">
        <f>SUMIF('[1]POOL-joueus'!$D$5:$D$808,C256,'[1]POOL-joueus'!$E$5:$E$808)</f>
        <v>0</v>
      </c>
      <c r="G256" s="30">
        <f>SUMIF('[1]POOL-joueus'!$D$5:$D$808,C256,'[1]POOL-joueus'!$F$5:F$808)</f>
        <v>0</v>
      </c>
      <c r="H256" s="30">
        <f>SUMIF('[1]POOL-joueus'!$D$5:$D$808,C256,'[1]POOL-joueus'!$G$5:G$808)</f>
        <v>0</v>
      </c>
      <c r="I256" s="91">
        <f t="shared" si="8"/>
        <v>0</v>
      </c>
      <c r="J256" s="81" t="e">
        <f t="shared" si="9"/>
        <v>#DIV/0!</v>
      </c>
      <c r="K256" s="30">
        <f>SUMIF('[1]Pool-gardien'!$D$5:$D$127,C256,'[1]Pool-gardien'!$F$5:$F$127)</f>
        <v>0</v>
      </c>
      <c r="L256" s="30">
        <f>SUMIF('[1]Pool-gardien'!$D$5:$D$127,C256,'[1]Pool-gardien'!$G$5:$G$127)</f>
        <v>0</v>
      </c>
      <c r="M256" s="30">
        <f>SUMIF('[1]Pool-gardien'!$D$5:$D$127,C256,'[1]Pool-gardien'!$H$5:$H$127)</f>
        <v>0</v>
      </c>
      <c r="N256" s="91">
        <f>SUMIF('[1]Pool-gardien'!$D$5:$D$127,C256,'[1]Pool-gardien'!$K$5:$K$127)</f>
        <v>0</v>
      </c>
      <c r="O256" s="30">
        <f>SUMIF('[1]Equipes-Pool'!$B$6:$B$35,C256,'[1]Equipes-Pool'!$D$6:$D$35)</f>
        <v>0</v>
      </c>
      <c r="P256" s="30">
        <f>SUMIF('[1]Equipes-Pool'!$B$6:$B$35,C256,'[1]Equipes-Pool'!$E$6:$E$35)</f>
        <v>0</v>
      </c>
      <c r="Q256" s="30">
        <f>SUMIF('[1]Equipes-Pool'!$B$6:$B$35,C256,'[1]Equipes-Pool'!$F$6:$F$35)</f>
        <v>0</v>
      </c>
      <c r="R256" s="91">
        <f>SUMIF('[1]Equipes-Pool'!$B$6:$B$35,C256,'[1]Equipes-Pool'!$G$6:$G$35)</f>
        <v>0</v>
      </c>
    </row>
    <row r="257" spans="1:18" ht="15.75">
      <c r="A257" s="12" t="s">
        <v>364</v>
      </c>
      <c r="B257" s="14" t="s">
        <v>50</v>
      </c>
      <c r="C257" s="80" t="s">
        <v>425</v>
      </c>
      <c r="D257" s="62" t="s">
        <v>396</v>
      </c>
      <c r="E257" s="10" t="s">
        <v>45</v>
      </c>
      <c r="F257" s="83">
        <f>SUMIF('[1]Equipes-Pool'!$B$6:$B$35,C257,'[1]Equipes-Pool'!$C$6:$C$35)</f>
        <v>66</v>
      </c>
      <c r="G257" s="30">
        <f>SUMIF('[1]POOL-joueus'!$D$5:$D$808,C257,'[1]POOL-joueus'!$F$5:F$808)</f>
        <v>0</v>
      </c>
      <c r="H257" s="30">
        <f>SUMIF('[1]POOL-joueus'!$D$5:$D$808,C257,'[1]POOL-joueus'!$G$5:G$808)</f>
        <v>0</v>
      </c>
      <c r="I257" s="91">
        <f t="shared" si="8"/>
        <v>0</v>
      </c>
      <c r="J257" s="81">
        <f t="shared" si="9"/>
        <v>0</v>
      </c>
      <c r="K257" s="30">
        <f>SUMIF('[1]Pool-gardien'!$D$5:$D$127,C257,'[1]Pool-gardien'!$F$5:$F$127)</f>
        <v>0</v>
      </c>
      <c r="L257" s="30">
        <f>SUMIF('[1]Pool-gardien'!$D$5:$D$127,C257,'[1]Pool-gardien'!$G$5:$G$127)</f>
        <v>0</v>
      </c>
      <c r="M257" s="30">
        <f>SUMIF('[1]Pool-gardien'!$D$5:$D$127,C257,'[1]Pool-gardien'!$H$5:$H$127)</f>
        <v>0</v>
      </c>
      <c r="N257" s="91">
        <f>SUMIF('[1]Pool-gardien'!$D$5:$D$127,C257,'[1]Pool-gardien'!$K$5:$K$127)</f>
        <v>0</v>
      </c>
      <c r="O257" s="83">
        <f>SUMIF('[1]Equipes-Pool'!$B$6:$B$35,C257,'[1]Equipes-Pool'!$D$6:$D$35)</f>
        <v>61</v>
      </c>
      <c r="P257" s="83">
        <f>SUMIF('[1]Equipes-Pool'!$B$6:$B$35,C257,'[1]Equipes-Pool'!$E$6:$E$35)</f>
        <v>164</v>
      </c>
      <c r="Q257" s="83">
        <f>SUMIF('[1]Equipes-Pool'!$B$6:$B$35,C257,'[1]Equipes-Pool'!$F$6:$F$35)</f>
        <v>202</v>
      </c>
      <c r="R257" s="93">
        <f>SUMIF('[1]Equipes-Pool'!$B$6:$B$35,C257,'[1]Equipes-Pool'!$G$6:$G$35)</f>
        <v>23</v>
      </c>
    </row>
    <row r="258" spans="1:18" ht="15.75">
      <c r="A258" s="12" t="s">
        <v>364</v>
      </c>
      <c r="B258" s="14" t="s">
        <v>103</v>
      </c>
      <c r="C258" s="80" t="s">
        <v>426</v>
      </c>
      <c r="D258" s="62" t="s">
        <v>396</v>
      </c>
      <c r="E258" s="10" t="s">
        <v>27</v>
      </c>
      <c r="F258" s="83">
        <f>SUMIF('[1]Equipes-Pool'!$B$6:$B$35,C258,'[1]Equipes-Pool'!$C$6:$C$35)</f>
        <v>67</v>
      </c>
      <c r="G258" s="30">
        <f>SUMIF('[1]POOL-joueus'!$D$5:$D$808,C258,'[1]POOL-joueus'!$F$5:F$808)</f>
        <v>0</v>
      </c>
      <c r="H258" s="30">
        <f>SUMIF('[1]POOL-joueus'!$D$5:$D$808,C258,'[1]POOL-joueus'!$G$5:G$808)</f>
        <v>0</v>
      </c>
      <c r="I258" s="91">
        <f t="shared" si="8"/>
        <v>0</v>
      </c>
      <c r="J258" s="81">
        <f t="shared" si="9"/>
        <v>0</v>
      </c>
      <c r="K258" s="30">
        <f>SUMIF('[1]Pool-gardien'!$D$5:$D$127,C258,'[1]Pool-gardien'!$F$5:$F$127)</f>
        <v>0</v>
      </c>
      <c r="L258" s="30">
        <f>SUMIF('[1]Pool-gardien'!$D$5:$D$127,C258,'[1]Pool-gardien'!$G$5:$G$127)</f>
        <v>0</v>
      </c>
      <c r="M258" s="30">
        <f>SUMIF('[1]Pool-gardien'!$D$5:$D$127,C258,'[1]Pool-gardien'!$H$5:$H$127)</f>
        <v>0</v>
      </c>
      <c r="N258" s="91">
        <f>SUMIF('[1]Pool-gardien'!$D$5:$D$127,C258,'[1]Pool-gardien'!$K$5:$K$127)</f>
        <v>0</v>
      </c>
      <c r="O258" s="83">
        <f>SUMIF('[1]Equipes-Pool'!$B$6:$B$35,C258,'[1]Equipes-Pool'!$D$6:$D$35)</f>
        <v>95</v>
      </c>
      <c r="P258" s="83">
        <f>SUMIF('[1]Equipes-Pool'!$B$6:$B$35,C258,'[1]Equipes-Pool'!$E$6:$E$35)</f>
        <v>226</v>
      </c>
      <c r="Q258" s="83">
        <f>SUMIF('[1]Equipes-Pool'!$B$6:$B$35,C258,'[1]Equipes-Pool'!$F$6:$F$35)</f>
        <v>155</v>
      </c>
      <c r="R258" s="93">
        <f>SUMIF('[1]Equipes-Pool'!$B$6:$B$35,C258,'[1]Equipes-Pool'!$G$6:$G$35)</f>
        <v>166</v>
      </c>
    </row>
    <row r="259" spans="1:18" ht="16.5" thickBot="1">
      <c r="A259" s="49" t="s">
        <v>364</v>
      </c>
      <c r="B259" s="50" t="s">
        <v>120</v>
      </c>
      <c r="C259" s="80" t="s">
        <v>427</v>
      </c>
      <c r="D259" s="64" t="s">
        <v>396</v>
      </c>
      <c r="E259" s="59" t="s">
        <v>65</v>
      </c>
      <c r="F259" s="83">
        <f>SUMIF('[1]Equipes-Pool'!$B$6:$B$35,C259,'[1]Equipes-Pool'!$C$6:$C$35)</f>
        <v>66</v>
      </c>
      <c r="G259" s="30">
        <f>SUMIF('[1]POOL-joueus'!$D$5:$D$808,C259,'[1]POOL-joueus'!$F$5:F$808)</f>
        <v>0</v>
      </c>
      <c r="H259" s="30">
        <f>SUMIF('[1]POOL-joueus'!$D$5:$D$808,C259,'[1]POOL-joueus'!$G$5:G$808)</f>
        <v>0</v>
      </c>
      <c r="I259" s="91">
        <f t="shared" si="8"/>
        <v>0</v>
      </c>
      <c r="J259" s="81">
        <f t="shared" si="9"/>
        <v>0</v>
      </c>
      <c r="K259" s="30">
        <f>SUMIF('[1]Pool-gardien'!$D$5:$D$127,C259,'[1]Pool-gardien'!$F$5:$F$127)</f>
        <v>0</v>
      </c>
      <c r="L259" s="30">
        <f>SUMIF('[1]Pool-gardien'!$D$5:$D$127,C259,'[1]Pool-gardien'!$G$5:$G$127)</f>
        <v>0</v>
      </c>
      <c r="M259" s="30">
        <f>SUMIF('[1]Pool-gardien'!$D$5:$D$127,C259,'[1]Pool-gardien'!$H$5:$H$127)</f>
        <v>0</v>
      </c>
      <c r="N259" s="91">
        <f>SUMIF('[1]Pool-gardien'!$D$5:$D$127,C259,'[1]Pool-gardien'!$K$5:$K$127)</f>
        <v>0</v>
      </c>
      <c r="O259" s="83">
        <f>SUMIF('[1]Equipes-Pool'!$B$6:$B$35,C259,'[1]Equipes-Pool'!$D$6:$D$35)</f>
        <v>73</v>
      </c>
      <c r="P259" s="83">
        <f>SUMIF('[1]Equipes-Pool'!$B$6:$B$35,C259,'[1]Equipes-Pool'!$E$6:$E$35)</f>
        <v>195</v>
      </c>
      <c r="Q259" s="83">
        <f>SUMIF('[1]Equipes-Pool'!$B$6:$B$35,C259,'[1]Equipes-Pool'!$F$6:$F$35)</f>
        <v>183</v>
      </c>
      <c r="R259" s="93">
        <f>SUMIF('[1]Equipes-Pool'!$B$6:$B$35,C259,'[1]Equipes-Pool'!$G$6:$G$35)</f>
        <v>85</v>
      </c>
    </row>
    <row r="260" spans="1:18" ht="15.75">
      <c r="A260" s="20" t="s">
        <v>33</v>
      </c>
      <c r="B260" s="21" t="s">
        <v>118</v>
      </c>
      <c r="C260" s="67" t="s">
        <v>351</v>
      </c>
      <c r="D260" s="63" t="s">
        <v>397</v>
      </c>
      <c r="E260" s="65" t="s">
        <v>23</v>
      </c>
      <c r="F260" s="84">
        <f>SUMIF('[1]POOL-joueus'!$D$5:$D$808,C260,'[1]POOL-joueus'!$E$5:$E$808)</f>
        <v>63</v>
      </c>
      <c r="G260" s="84">
        <f>SUMIF('[1]POOL-joueus'!$D$5:$D$808,C260,'[1]POOL-joueus'!$F$5:F$808)</f>
        <v>2</v>
      </c>
      <c r="H260" s="84">
        <f>SUMIF('[1]POOL-joueus'!$D$5:$D$808,C260,'[1]POOL-joueus'!$G$5:G$808)</f>
        <v>21</v>
      </c>
      <c r="I260" s="90">
        <f t="shared" si="8"/>
        <v>23</v>
      </c>
      <c r="J260" s="85">
        <f t="shared" si="9"/>
        <v>0.36507936507936506</v>
      </c>
      <c r="K260" s="30">
        <f>SUMIF('[1]Pool-gardien'!$D$5:$D$127,C260,'[1]Pool-gardien'!$F$5:$F$127)</f>
        <v>0</v>
      </c>
      <c r="L260" s="30">
        <f>SUMIF('[1]Pool-gardien'!$D$5:$D$127,C260,'[1]Pool-gardien'!$G$5:$G$127)</f>
        <v>0</v>
      </c>
      <c r="M260" s="30">
        <f>SUMIF('[1]Pool-gardien'!$D$5:$D$127,C260,'[1]Pool-gardien'!$H$5:$H$127)</f>
        <v>0</v>
      </c>
      <c r="N260" s="91">
        <f>SUMIF('[1]Pool-gardien'!$D$5:$D$127,C260,'[1]Pool-gardien'!$K$5:$K$127)</f>
        <v>0</v>
      </c>
      <c r="O260" s="30">
        <f>SUMIF('[1]Equipes-Pool'!$B$6:$B$35,C260,'[1]Equipes-Pool'!$D$6:$D$35)</f>
        <v>0</v>
      </c>
      <c r="P260" s="30">
        <f>SUMIF('[1]Equipes-Pool'!$B$6:$B$35,C260,'[1]Equipes-Pool'!$E$6:$E$35)</f>
        <v>0</v>
      </c>
      <c r="Q260" s="30">
        <f>SUMIF('[1]Equipes-Pool'!$B$6:$B$35,C260,'[1]Equipes-Pool'!$F$6:$F$35)</f>
        <v>0</v>
      </c>
      <c r="R260" s="91">
        <f>SUMIF('[1]Equipes-Pool'!$B$6:$B$35,C260,'[1]Equipes-Pool'!$G$6:$G$35)</f>
        <v>0</v>
      </c>
    </row>
    <row r="261" spans="1:18" ht="15.75">
      <c r="A261" s="18" t="s">
        <v>93</v>
      </c>
      <c r="B261" s="18" t="s">
        <v>186</v>
      </c>
      <c r="C261" s="68" t="s">
        <v>353</v>
      </c>
      <c r="D261" s="62" t="s">
        <v>397</v>
      </c>
      <c r="E261" s="10" t="s">
        <v>32</v>
      </c>
      <c r="F261" s="30">
        <f>SUMIF('[1]Pool-gardien'!$D$5:$D$127,C261,'[1]Pool-gardien'!$E$5:$E$127)</f>
        <v>0</v>
      </c>
      <c r="G261" s="30">
        <f>SUMIF('[1]Pool-gardien'!$D$5:$D$127,C261,'[1]Pool-gardien'!$I$5:$I$127)</f>
        <v>0</v>
      </c>
      <c r="H261" s="30">
        <f>SUMIF('[1]Pool-gardien'!$D$5:$D$127,C261,'[1]Pool-gardien'!$J$5:$J$127)</f>
        <v>0</v>
      </c>
      <c r="I261" s="91">
        <f t="shared" si="8"/>
        <v>0</v>
      </c>
      <c r="J261" s="81" t="e">
        <f t="shared" si="9"/>
        <v>#DIV/0!</v>
      </c>
      <c r="K261" s="30">
        <f>SUMIF('[1]Pool-gardien'!$D$5:$D$127,C261,'[1]Pool-gardien'!$F$5:$F$127)</f>
        <v>0</v>
      </c>
      <c r="L261" s="30">
        <f>SUMIF('[1]Pool-gardien'!$D$5:$D$127,C261,'[1]Pool-gardien'!$G$5:$G$127)</f>
        <v>0</v>
      </c>
      <c r="M261" s="30">
        <f>SUMIF('[1]Pool-gardien'!$D$5:$D$127,C261,'[1]Pool-gardien'!$H$5:$H$127)</f>
        <v>0</v>
      </c>
      <c r="N261" s="91">
        <f>SUMIF('[1]Pool-gardien'!$D$5:$D$127,C261,'[1]Pool-gardien'!$K$5:$K$127)</f>
        <v>0</v>
      </c>
      <c r="O261" s="30">
        <f>SUMIF('[1]Equipes-Pool'!$B$6:$B$35,C261,'[1]Equipes-Pool'!$D$6:$D$35)</f>
        <v>0</v>
      </c>
      <c r="P261" s="30">
        <f>SUMIF('[1]Equipes-Pool'!$B$6:$B$35,C261,'[1]Equipes-Pool'!$E$6:$E$35)</f>
        <v>0</v>
      </c>
      <c r="Q261" s="30">
        <f>SUMIF('[1]Equipes-Pool'!$B$6:$B$35,C261,'[1]Equipes-Pool'!$F$6:$F$35)</f>
        <v>0</v>
      </c>
      <c r="R261" s="91">
        <f>SUMIF('[1]Equipes-Pool'!$B$6:$B$35,C261,'[1]Equipes-Pool'!$G$6:$G$35)</f>
        <v>0</v>
      </c>
    </row>
    <row r="262" spans="1:18" ht="15.75">
      <c r="A262" s="12" t="s">
        <v>9</v>
      </c>
      <c r="B262" s="14" t="s">
        <v>36</v>
      </c>
      <c r="C262" s="55" t="s">
        <v>354</v>
      </c>
      <c r="D262" s="62" t="s">
        <v>397</v>
      </c>
      <c r="E262" s="10" t="s">
        <v>45</v>
      </c>
      <c r="F262" s="30">
        <f>SUMIF('[1]POOL-joueus'!$D$5:$D$808,C262,'[1]POOL-joueus'!$E$5:$E$808)</f>
        <v>63</v>
      </c>
      <c r="G262" s="30">
        <f>SUMIF('[1]POOL-joueus'!$D$5:$D$808,C262,'[1]POOL-joueus'!$F$5:F$808)</f>
        <v>17</v>
      </c>
      <c r="H262" s="30">
        <f>SUMIF('[1]POOL-joueus'!$D$5:$D$808,C262,'[1]POOL-joueus'!$G$5:G$808)</f>
        <v>17</v>
      </c>
      <c r="I262" s="91">
        <f t="shared" si="8"/>
        <v>34</v>
      </c>
      <c r="J262" s="81">
        <f t="shared" si="9"/>
        <v>0.5396825396825397</v>
      </c>
      <c r="K262" s="30">
        <f>SUMIF('[1]Pool-gardien'!$D$5:$D$127,C262,'[1]Pool-gardien'!$F$5:$F$127)</f>
        <v>0</v>
      </c>
      <c r="L262" s="30">
        <f>SUMIF('[1]Pool-gardien'!$D$5:$D$127,C262,'[1]Pool-gardien'!$G$5:$G$127)</f>
        <v>0</v>
      </c>
      <c r="M262" s="30">
        <f>SUMIF('[1]Pool-gardien'!$D$5:$D$127,C262,'[1]Pool-gardien'!$H$5:$H$127)</f>
        <v>0</v>
      </c>
      <c r="N262" s="91">
        <f>SUMIF('[1]Pool-gardien'!$D$5:$D$127,C262,'[1]Pool-gardien'!$K$5:$K$127)</f>
        <v>0</v>
      </c>
      <c r="O262" s="30">
        <f>SUMIF('[1]Equipes-Pool'!$B$6:$B$35,C262,'[1]Equipes-Pool'!$D$6:$D$35)</f>
        <v>0</v>
      </c>
      <c r="P262" s="30">
        <f>SUMIF('[1]Equipes-Pool'!$B$6:$B$35,C262,'[1]Equipes-Pool'!$E$6:$E$35)</f>
        <v>0</v>
      </c>
      <c r="Q262" s="30">
        <f>SUMIF('[1]Equipes-Pool'!$B$6:$B$35,C262,'[1]Equipes-Pool'!$F$6:$F$35)</f>
        <v>0</v>
      </c>
      <c r="R262" s="91">
        <f>SUMIF('[1]Equipes-Pool'!$B$6:$B$35,C262,'[1]Equipes-Pool'!$G$6:$G$35)</f>
        <v>0</v>
      </c>
    </row>
    <row r="263" spans="1:18" ht="15.75">
      <c r="A263" s="28" t="s">
        <v>93</v>
      </c>
      <c r="B263" s="18" t="s">
        <v>55</v>
      </c>
      <c r="C263" s="68" t="s">
        <v>356</v>
      </c>
      <c r="D263" s="62" t="s">
        <v>397</v>
      </c>
      <c r="E263" s="10" t="s">
        <v>27</v>
      </c>
      <c r="F263" s="30">
        <f>SUMIF('[1]Pool-gardien'!$D$5:$D$127,C263,'[1]Pool-gardien'!$E$5:$E$127)</f>
        <v>46</v>
      </c>
      <c r="G263" s="30">
        <f>SUMIF('[1]Pool-gardien'!$D$5:$D$127,C263,'[1]Pool-gardien'!$I$5:$I$127)</f>
        <v>0</v>
      </c>
      <c r="H263" s="30">
        <f>SUMIF('[1]Pool-gardien'!$D$5:$D$127,C263,'[1]Pool-gardien'!$J$5:$J$127)</f>
        <v>0</v>
      </c>
      <c r="I263" s="91">
        <f t="shared" si="8"/>
        <v>0</v>
      </c>
      <c r="J263" s="81">
        <f t="shared" si="9"/>
        <v>0</v>
      </c>
      <c r="K263" s="30">
        <f>SUMIF('[1]Pool-gardien'!$D$5:$D$127,C263,'[1]Pool-gardien'!$F$5:$F$127)</f>
        <v>26</v>
      </c>
      <c r="L263" s="30">
        <f>SUMIF('[1]Pool-gardien'!$D$5:$D$127,C263,'[1]Pool-gardien'!$G$5:$G$127)</f>
        <v>3</v>
      </c>
      <c r="M263" s="30">
        <f>SUMIF('[1]Pool-gardien'!$D$5:$D$127,C263,'[1]Pool-gardien'!$H$5:$H$127)</f>
        <v>8</v>
      </c>
      <c r="N263" s="91">
        <f>SUMIF('[1]Pool-gardien'!$D$5:$D$127,C263,'[1]Pool-gardien'!$K$5:$K$127)</f>
        <v>87</v>
      </c>
      <c r="O263" s="30">
        <f>SUMIF('[1]Equipes-Pool'!$B$6:$B$35,C263,'[1]Equipes-Pool'!$D$6:$D$35)</f>
        <v>0</v>
      </c>
      <c r="P263" s="30">
        <f>SUMIF('[1]Equipes-Pool'!$B$6:$B$35,C263,'[1]Equipes-Pool'!$E$6:$E$35)</f>
        <v>0</v>
      </c>
      <c r="Q263" s="30">
        <f>SUMIF('[1]Equipes-Pool'!$B$6:$B$35,C263,'[1]Equipes-Pool'!$F$6:$F$35)</f>
        <v>0</v>
      </c>
      <c r="R263" s="91">
        <f>SUMIF('[1]Equipes-Pool'!$B$6:$B$35,C263,'[1]Equipes-Pool'!$G$6:$G$35)</f>
        <v>0</v>
      </c>
    </row>
    <row r="264" spans="1:18" ht="16.5" thickBot="1">
      <c r="A264" s="54" t="s">
        <v>28</v>
      </c>
      <c r="B264" s="54" t="s">
        <v>55</v>
      </c>
      <c r="C264" s="73" t="s">
        <v>358</v>
      </c>
      <c r="D264" s="64" t="s">
        <v>397</v>
      </c>
      <c r="E264" s="59" t="s">
        <v>65</v>
      </c>
      <c r="F264" s="82">
        <f>SUMIF('[1]Pool-gardien'!$D$5:$D$127,C264,'[1]Pool-gardien'!$E$5:$E$127)</f>
        <v>8</v>
      </c>
      <c r="G264" s="82">
        <f>SUMIF('[1]Pool-gardien'!$D$5:$D$127,C264,'[1]Pool-gardien'!$I$5:$I$127)</f>
        <v>0</v>
      </c>
      <c r="H264" s="82">
        <f>SUMIF('[1]Pool-gardien'!$D$5:$D$127,C264,'[1]Pool-gardien'!$J$5:$J$127)</f>
        <v>0</v>
      </c>
      <c r="I264" s="92">
        <f t="shared" si="8"/>
        <v>0</v>
      </c>
      <c r="J264" s="81">
        <f t="shared" si="9"/>
        <v>0</v>
      </c>
      <c r="K264" s="82">
        <f>SUMIF('[1]Pool-gardien'!$D$5:$D$127,C264,'[1]Pool-gardien'!$F$5:$F$127)</f>
        <v>1</v>
      </c>
      <c r="L264" s="82">
        <f>SUMIF('[1]Pool-gardien'!$D$5:$D$127,C264,'[1]Pool-gardien'!$G$5:$G$127)</f>
        <v>2</v>
      </c>
      <c r="M264" s="82">
        <f>SUMIF('[1]Pool-gardien'!$D$5:$D$127,C264,'[1]Pool-gardien'!$H$5:$H$127)</f>
        <v>0</v>
      </c>
      <c r="N264" s="92">
        <f>SUMIF('[1]Pool-gardien'!$D$5:$D$127,C264,'[1]Pool-gardien'!$K$5:$K$127)</f>
        <v>4</v>
      </c>
      <c r="O264" s="30">
        <f>SUMIF('[1]Equipes-Pool'!$B$6:$B$35,C264,'[1]Equipes-Pool'!$D$6:$D$35)</f>
        <v>0</v>
      </c>
      <c r="P264" s="30">
        <f>SUMIF('[1]Equipes-Pool'!$B$6:$B$35,C264,'[1]Equipes-Pool'!$E$6:$E$35)</f>
        <v>0</v>
      </c>
      <c r="Q264" s="30">
        <f>SUMIF('[1]Equipes-Pool'!$B$6:$B$35,C264,'[1]Equipes-Pool'!$F$6:$F$35)</f>
        <v>0</v>
      </c>
      <c r="R264" s="91">
        <f>SUMIF('[1]Equipes-Pool'!$B$6:$B$35,C264,'[1]Equipes-Pool'!$G$6:$G$35)</f>
        <v>0</v>
      </c>
    </row>
    <row r="265" spans="1:18" ht="15.75">
      <c r="A265" s="20" t="s">
        <v>12</v>
      </c>
      <c r="B265" s="21" t="s">
        <v>97</v>
      </c>
      <c r="C265" s="67" t="s">
        <v>352</v>
      </c>
      <c r="D265" s="63" t="s">
        <v>398</v>
      </c>
      <c r="E265" s="65" t="s">
        <v>23</v>
      </c>
      <c r="F265" s="84">
        <f>SUMIF('[1]POOL-joueus'!$D$5:$D$808,C265,'[1]POOL-joueus'!$E$5:$E$808)</f>
        <v>65</v>
      </c>
      <c r="G265" s="84">
        <f>SUMIF('[1]POOL-joueus'!$D$5:$D$808,C265,'[1]POOL-joueus'!$F$5:F$808)</f>
        <v>14</v>
      </c>
      <c r="H265" s="84">
        <f>SUMIF('[1]POOL-joueus'!$D$5:$D$808,C265,'[1]POOL-joueus'!$G$5:G$808)</f>
        <v>27</v>
      </c>
      <c r="I265" s="90">
        <f t="shared" si="8"/>
        <v>41</v>
      </c>
      <c r="J265" s="85">
        <f t="shared" si="9"/>
        <v>0.6307692307692307</v>
      </c>
      <c r="K265" s="30">
        <f>SUMIF('[1]Pool-gardien'!$D$5:$D$127,C265,'[1]Pool-gardien'!$F$5:$F$127)</f>
        <v>0</v>
      </c>
      <c r="L265" s="30">
        <f>SUMIF('[1]Pool-gardien'!$D$5:$D$127,C265,'[1]Pool-gardien'!$G$5:$G$127)</f>
        <v>0</v>
      </c>
      <c r="M265" s="30">
        <f>SUMIF('[1]Pool-gardien'!$D$5:$D$127,C265,'[1]Pool-gardien'!$H$5:$H$127)</f>
        <v>0</v>
      </c>
      <c r="N265" s="91">
        <f>SUMIF('[1]Pool-gardien'!$D$5:$D$127,C265,'[1]Pool-gardien'!$K$5:$K$127)</f>
        <v>0</v>
      </c>
      <c r="O265" s="30">
        <f>SUMIF('[1]Equipes-Pool'!$B$6:$B$35,C265,'[1]Equipes-Pool'!$D$6:$D$35)</f>
        <v>0</v>
      </c>
      <c r="P265" s="30">
        <f>SUMIF('[1]Equipes-Pool'!$B$6:$B$35,C265,'[1]Equipes-Pool'!$E$6:$E$35)</f>
        <v>0</v>
      </c>
      <c r="Q265" s="30">
        <f>SUMIF('[1]Equipes-Pool'!$B$6:$B$35,C265,'[1]Equipes-Pool'!$F$6:$F$35)</f>
        <v>0</v>
      </c>
      <c r="R265" s="91">
        <f>SUMIF('[1]Equipes-Pool'!$B$6:$B$35,C265,'[1]Equipes-Pool'!$G$6:$G$35)</f>
        <v>0</v>
      </c>
    </row>
    <row r="266" spans="1:18" ht="15.75">
      <c r="A266" s="18" t="s">
        <v>93</v>
      </c>
      <c r="B266" s="18" t="s">
        <v>111</v>
      </c>
      <c r="C266" s="68" t="s">
        <v>355</v>
      </c>
      <c r="D266" s="62" t="s">
        <v>398</v>
      </c>
      <c r="E266" s="10" t="s">
        <v>45</v>
      </c>
      <c r="F266" s="30">
        <f>SUMIF('[1]Pool-gardien'!$D$5:$D$127,C266,'[1]Pool-gardien'!$E$5:$E$127)</f>
        <v>8</v>
      </c>
      <c r="G266" s="30">
        <f>SUMIF('[1]Pool-gardien'!$D$5:$D$127,C266,'[1]Pool-gardien'!$I$5:$I$127)</f>
        <v>0</v>
      </c>
      <c r="H266" s="30">
        <f>SUMIF('[1]Pool-gardien'!$D$5:$D$127,C266,'[1]Pool-gardien'!$J$5:$J$127)</f>
        <v>1</v>
      </c>
      <c r="I266" s="91">
        <f t="shared" si="8"/>
        <v>1</v>
      </c>
      <c r="J266" s="81">
        <f t="shared" si="9"/>
        <v>0.125</v>
      </c>
      <c r="K266" s="30">
        <f>SUMIF('[1]Pool-gardien'!$D$5:$D$127,C266,'[1]Pool-gardien'!$F$5:$F$127)</f>
        <v>3</v>
      </c>
      <c r="L266" s="30">
        <f>SUMIF('[1]Pool-gardien'!$D$5:$D$127,C266,'[1]Pool-gardien'!$G$5:$G$127)</f>
        <v>0</v>
      </c>
      <c r="M266" s="30">
        <f>SUMIF('[1]Pool-gardien'!$D$5:$D$127,C266,'[1]Pool-gardien'!$H$5:$H$127)</f>
        <v>0</v>
      </c>
      <c r="N266" s="91">
        <f>SUMIF('[1]Pool-gardien'!$D$5:$D$127,C266,'[1]Pool-gardien'!$K$5:$K$127)</f>
        <v>7</v>
      </c>
      <c r="O266" s="30">
        <f>SUMIF('[1]Equipes-Pool'!$B$6:$B$35,C266,'[1]Equipes-Pool'!$D$6:$D$35)</f>
        <v>0</v>
      </c>
      <c r="P266" s="30">
        <f>SUMIF('[1]Equipes-Pool'!$B$6:$B$35,C266,'[1]Equipes-Pool'!$E$6:$E$35)</f>
        <v>0</v>
      </c>
      <c r="Q266" s="30">
        <f>SUMIF('[1]Equipes-Pool'!$B$6:$B$35,C266,'[1]Equipes-Pool'!$F$6:$F$35)</f>
        <v>0</v>
      </c>
      <c r="R266" s="91">
        <f>SUMIF('[1]Equipes-Pool'!$B$6:$B$35,C266,'[1]Equipes-Pool'!$G$6:$G$35)</f>
        <v>0</v>
      </c>
    </row>
    <row r="267" spans="1:18" ht="15.75">
      <c r="A267" s="12" t="s">
        <v>12</v>
      </c>
      <c r="B267" s="14" t="s">
        <v>55</v>
      </c>
      <c r="C267" s="55" t="s">
        <v>357</v>
      </c>
      <c r="D267" s="62" t="s">
        <v>398</v>
      </c>
      <c r="E267" s="10" t="s">
        <v>27</v>
      </c>
      <c r="F267" s="84">
        <f>SUMIF('[1]POOL-joueus'!$D$5:$D$808,C267,'[1]POOL-joueus'!$E$5:$E$808)</f>
        <v>50</v>
      </c>
      <c r="G267" s="84">
        <f>SUMIF('[1]POOL-joueus'!$D$5:$D$808,C267,'[1]POOL-joueus'!$F$5:F$808)</f>
        <v>9</v>
      </c>
      <c r="H267" s="84">
        <f>SUMIF('[1]POOL-joueus'!$D$5:$D$808,C267,'[1]POOL-joueus'!$G$5:G$808)</f>
        <v>16</v>
      </c>
      <c r="I267" s="90">
        <f t="shared" si="8"/>
        <v>25</v>
      </c>
      <c r="J267" s="85">
        <f t="shared" si="9"/>
        <v>0.5</v>
      </c>
      <c r="K267" s="30">
        <f>SUMIF('[1]Pool-gardien'!$D$5:$D$127,C267,'[1]Pool-gardien'!$F$5:$F$127)</f>
        <v>0</v>
      </c>
      <c r="L267" s="30">
        <f>SUMIF('[1]Pool-gardien'!$D$5:$D$127,C267,'[1]Pool-gardien'!$G$5:$G$127)</f>
        <v>0</v>
      </c>
      <c r="M267" s="30">
        <f>SUMIF('[1]Pool-gardien'!$D$5:$D$127,C267,'[1]Pool-gardien'!$H$5:$H$127)</f>
        <v>0</v>
      </c>
      <c r="N267" s="91">
        <f>SUMIF('[1]Pool-gardien'!$D$5:$D$127,C267,'[1]Pool-gardien'!$K$5:$K$127)</f>
        <v>0</v>
      </c>
      <c r="O267" s="30">
        <f>SUMIF('[1]Equipes-Pool'!$B$6:$B$35,C267,'[1]Equipes-Pool'!$D$6:$D$35)</f>
        <v>0</v>
      </c>
      <c r="P267" s="30">
        <f>SUMIF('[1]Equipes-Pool'!$B$6:$B$35,C267,'[1]Equipes-Pool'!$E$6:$E$35)</f>
        <v>0</v>
      </c>
      <c r="Q267" s="30">
        <f>SUMIF('[1]Equipes-Pool'!$B$6:$B$35,C267,'[1]Equipes-Pool'!$F$6:$F$35)</f>
        <v>0</v>
      </c>
      <c r="R267" s="91">
        <f>SUMIF('[1]Equipes-Pool'!$B$6:$B$35,C267,'[1]Equipes-Pool'!$G$6:$G$35)</f>
        <v>0</v>
      </c>
    </row>
    <row r="268" spans="1:18" ht="16.5" thickBot="1">
      <c r="A268" s="49" t="s">
        <v>40</v>
      </c>
      <c r="B268" s="50" t="s">
        <v>140</v>
      </c>
      <c r="C268" s="66" t="s">
        <v>359</v>
      </c>
      <c r="D268" s="64" t="s">
        <v>398</v>
      </c>
      <c r="E268" s="59" t="s">
        <v>65</v>
      </c>
      <c r="F268" s="84">
        <f>SUMIF('[1]POOL-joueus'!$D$5:$D$808,C268,'[1]POOL-joueus'!$E$5:$E$808)</f>
        <v>60</v>
      </c>
      <c r="G268" s="84">
        <f>SUMIF('[1]POOL-joueus'!$D$5:$D$808,C268,'[1]POOL-joueus'!$F$5:F$808)</f>
        <v>14</v>
      </c>
      <c r="H268" s="84">
        <f>SUMIF('[1]POOL-joueus'!$D$5:$D$808,C268,'[1]POOL-joueus'!$G$5:G$808)</f>
        <v>32</v>
      </c>
      <c r="I268" s="90">
        <f t="shared" si="8"/>
        <v>46</v>
      </c>
      <c r="J268" s="85">
        <f t="shared" si="9"/>
        <v>0.7666666666666667</v>
      </c>
      <c r="K268" s="30">
        <f>SUMIF('[1]Pool-gardien'!$D$5:$D$127,C268,'[1]Pool-gardien'!$F$5:$F$127)</f>
        <v>0</v>
      </c>
      <c r="L268" s="30">
        <f>SUMIF('[1]Pool-gardien'!$D$5:$D$127,C268,'[1]Pool-gardien'!$G$5:$G$127)</f>
        <v>0</v>
      </c>
      <c r="M268" s="30">
        <f>SUMIF('[1]Pool-gardien'!$D$5:$D$127,C268,'[1]Pool-gardien'!$H$5:$H$127)</f>
        <v>0</v>
      </c>
      <c r="N268" s="91">
        <f>SUMIF('[1]Pool-gardien'!$D$5:$D$127,C268,'[1]Pool-gardien'!$K$5:$K$127)</f>
        <v>0</v>
      </c>
      <c r="O268" s="30">
        <f>SUMIF('[1]Equipes-Pool'!$B$6:$B$35,C268,'[1]Equipes-Pool'!$D$6:$D$35)</f>
        <v>0</v>
      </c>
      <c r="P268" s="30">
        <f>SUMIF('[1]Equipes-Pool'!$B$6:$B$35,C268,'[1]Equipes-Pool'!$E$6:$E$35)</f>
        <v>0</v>
      </c>
      <c r="Q268" s="30">
        <f>SUMIF('[1]Equipes-Pool'!$B$6:$B$35,C268,'[1]Equipes-Pool'!$F$6:$F$35)</f>
        <v>0</v>
      </c>
      <c r="R268" s="91">
        <f>SUMIF('[1]Equipes-Pool'!$B$6:$B$35,C268,'[1]Equipes-Pool'!$G$6:$G$35)</f>
        <v>0</v>
      </c>
    </row>
    <row r="269" spans="1:18" ht="16.5" thickBot="1">
      <c r="A269" s="57" t="s">
        <v>364</v>
      </c>
      <c r="B269" s="58" t="s">
        <v>29</v>
      </c>
      <c r="C269" s="80" t="s">
        <v>428</v>
      </c>
      <c r="D269" s="74" t="s">
        <v>399</v>
      </c>
      <c r="E269" s="75" t="s">
        <v>23</v>
      </c>
      <c r="F269" s="83">
        <f>SUMIF('[1]Equipes-Pool'!$B$6:$B$35,C269,'[1]Equipes-Pool'!$C$6:$C$35)</f>
        <v>66</v>
      </c>
      <c r="G269" s="30">
        <f>SUMIF('[1]POOL-joueus'!$D$5:$D$808,C269,'[1]POOL-joueus'!$F$5:F$808)</f>
        <v>0</v>
      </c>
      <c r="H269" s="30">
        <f>SUMIF('[1]POOL-joueus'!$D$5:$D$808,C269,'[1]POOL-joueus'!$G$5:G$808)</f>
        <v>0</v>
      </c>
      <c r="I269" s="91">
        <f t="shared" si="8"/>
        <v>0</v>
      </c>
      <c r="J269" s="81">
        <f t="shared" si="9"/>
        <v>0</v>
      </c>
      <c r="K269" s="30">
        <f>SUMIF('[1]Pool-gardien'!$D$5:$D$127,C269,'[1]Pool-gardien'!$F$5:$F$127)</f>
        <v>0</v>
      </c>
      <c r="L269" s="30">
        <f>SUMIF('[1]Pool-gardien'!$D$5:$D$127,C269,'[1]Pool-gardien'!$G$5:$G$127)</f>
        <v>0</v>
      </c>
      <c r="M269" s="30">
        <f>SUMIF('[1]Pool-gardien'!$D$5:$D$127,C269,'[1]Pool-gardien'!$H$5:$H$127)</f>
        <v>0</v>
      </c>
      <c r="N269" s="91">
        <f>SUMIF('[1]Pool-gardien'!$D$5:$D$127,C269,'[1]Pool-gardien'!$K$5:$K$127)</f>
        <v>0</v>
      </c>
      <c r="O269" s="83">
        <f>SUMIF('[1]Equipes-Pool'!$B$6:$B$35,C269,'[1]Equipes-Pool'!$D$6:$D$35)</f>
        <v>70</v>
      </c>
      <c r="P269" s="83">
        <f>SUMIF('[1]Equipes-Pool'!$B$6:$B$35,C269,'[1]Equipes-Pool'!$E$6:$E$35)</f>
        <v>170</v>
      </c>
      <c r="Q269" s="83">
        <f>SUMIF('[1]Equipes-Pool'!$B$6:$B$35,C269,'[1]Equipes-Pool'!$F$6:$F$35)</f>
        <v>183</v>
      </c>
      <c r="R269" s="93">
        <f>SUMIF('[1]Equipes-Pool'!$B$6:$B$35,C269,'[1]Equipes-Pool'!$G$6:$G$35)</f>
        <v>57</v>
      </c>
    </row>
    <row r="270" spans="1:18" ht="15.75">
      <c r="A270" s="20" t="s">
        <v>33</v>
      </c>
      <c r="B270" s="21" t="s">
        <v>120</v>
      </c>
      <c r="C270" s="67" t="s">
        <v>363</v>
      </c>
      <c r="D270" s="63" t="s">
        <v>400</v>
      </c>
      <c r="E270" s="65" t="s">
        <v>23</v>
      </c>
      <c r="F270" s="84">
        <f>SUMIF('[1]POOL-joueus'!$D$5:$D$808,C270,'[1]POOL-joueus'!$E$5:$E$808)</f>
        <v>65</v>
      </c>
      <c r="G270" s="84">
        <f>SUMIF('[1]POOL-joueus'!$D$5:$D$808,C270,'[1]POOL-joueus'!$F$5:F$808)</f>
        <v>1</v>
      </c>
      <c r="H270" s="84">
        <f>SUMIF('[1]POOL-joueus'!$D$5:$D$808,C270,'[1]POOL-joueus'!$G$5:G$808)</f>
        <v>15</v>
      </c>
      <c r="I270" s="90">
        <f t="shared" si="8"/>
        <v>16</v>
      </c>
      <c r="J270" s="85">
        <f t="shared" si="9"/>
        <v>0.24615384615384617</v>
      </c>
      <c r="K270" s="30">
        <f>SUMIF('[1]Pool-gardien'!$D$5:$D$127,C270,'[1]Pool-gardien'!$F$5:$F$127)</f>
        <v>0</v>
      </c>
      <c r="L270" s="30">
        <f>SUMIF('[1]Pool-gardien'!$D$5:$D$127,C270,'[1]Pool-gardien'!$G$5:$G$127)</f>
        <v>0</v>
      </c>
      <c r="M270" s="30">
        <f>SUMIF('[1]Pool-gardien'!$D$5:$D$127,C270,'[1]Pool-gardien'!$H$5:$H$127)</f>
        <v>0</v>
      </c>
      <c r="N270" s="91">
        <f>SUMIF('[1]Pool-gardien'!$D$5:$D$127,C270,'[1]Pool-gardien'!$K$5:$K$127)</f>
        <v>0</v>
      </c>
      <c r="O270" s="30">
        <f>SUMIF('[1]Equipes-Pool'!$B$6:$B$35,C270,'[1]Equipes-Pool'!$D$6:$D$35)</f>
        <v>0</v>
      </c>
      <c r="P270" s="30">
        <f>SUMIF('[1]Equipes-Pool'!$B$6:$B$35,C270,'[1]Equipes-Pool'!$E$6:$E$35)</f>
        <v>0</v>
      </c>
      <c r="Q270" s="30">
        <f>SUMIF('[1]Equipes-Pool'!$B$6:$B$35,C270,'[1]Equipes-Pool'!$F$6:$F$35)</f>
        <v>0</v>
      </c>
      <c r="R270" s="91">
        <f>SUMIF('[1]Equipes-Pool'!$B$6:$B$35,C270,'[1]Equipes-Pool'!$G$6:$G$35)</f>
        <v>0</v>
      </c>
    </row>
    <row r="271" spans="6:10" ht="12.75">
      <c r="F271" s="86"/>
      <c r="G271" s="86"/>
      <c r="H271" s="86"/>
      <c r="I271" s="86"/>
      <c r="J271" s="86"/>
    </row>
    <row r="272" ht="12.75">
      <c r="E272" s="56"/>
    </row>
  </sheetData>
  <autoFilter ref="A7:E270"/>
  <printOptions/>
  <pageMargins left="0.75" right="0.75" top="1" bottom="1" header="0.4921259845" footer="0.492125984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G53"/>
  <sheetViews>
    <sheetView workbookViewId="0" topLeftCell="A1">
      <selection activeCell="F25" sqref="F25"/>
    </sheetView>
  </sheetViews>
  <sheetFormatPr defaultColWidth="11.421875" defaultRowHeight="12.75"/>
  <cols>
    <col min="1" max="1" width="19.140625" style="0" customWidth="1"/>
    <col min="3" max="3" width="7.57421875" style="0" customWidth="1"/>
    <col min="4" max="4" width="8.140625" style="0" customWidth="1"/>
    <col min="5" max="32" width="7.7109375" style="0" customWidth="1"/>
    <col min="33" max="33" width="6.28125" style="0" customWidth="1"/>
  </cols>
  <sheetData>
    <row r="8" spans="1:32" ht="12.75">
      <c r="A8" s="190" t="s">
        <v>370</v>
      </c>
      <c r="B8" s="191"/>
      <c r="C8" s="47" t="s">
        <v>371</v>
      </c>
      <c r="D8" s="48" t="s">
        <v>372</v>
      </c>
      <c r="E8" s="48" t="s">
        <v>373</v>
      </c>
      <c r="F8" s="48" t="s">
        <v>374</v>
      </c>
      <c r="G8" s="48" t="s">
        <v>375</v>
      </c>
      <c r="H8" s="48" t="s">
        <v>376</v>
      </c>
      <c r="I8" s="48" t="s">
        <v>377</v>
      </c>
      <c r="J8" s="48" t="s">
        <v>378</v>
      </c>
      <c r="K8" s="48" t="s">
        <v>379</v>
      </c>
      <c r="L8" s="48" t="s">
        <v>380</v>
      </c>
      <c r="M8" s="48" t="s">
        <v>381</v>
      </c>
      <c r="N8" s="48" t="s">
        <v>382</v>
      </c>
      <c r="O8" s="48" t="s">
        <v>383</v>
      </c>
      <c r="P8" s="48" t="s">
        <v>384</v>
      </c>
      <c r="Q8" s="48" t="s">
        <v>385</v>
      </c>
      <c r="R8" s="48" t="s">
        <v>386</v>
      </c>
      <c r="S8" s="48" t="s">
        <v>387</v>
      </c>
      <c r="T8" s="48" t="s">
        <v>388</v>
      </c>
      <c r="U8" s="48" t="s">
        <v>389</v>
      </c>
      <c r="V8" s="48" t="s">
        <v>390</v>
      </c>
      <c r="W8" s="48" t="s">
        <v>391</v>
      </c>
      <c r="X8" s="48" t="s">
        <v>392</v>
      </c>
      <c r="Y8" s="48" t="s">
        <v>393</v>
      </c>
      <c r="Z8" s="48" t="s">
        <v>394</v>
      </c>
      <c r="AA8" s="48" t="s">
        <v>395</v>
      </c>
      <c r="AB8" s="48" t="s">
        <v>396</v>
      </c>
      <c r="AC8" s="48" t="s">
        <v>397</v>
      </c>
      <c r="AD8" s="48" t="s">
        <v>398</v>
      </c>
      <c r="AE8" s="48" t="s">
        <v>399</v>
      </c>
      <c r="AF8" s="48" t="s">
        <v>400</v>
      </c>
    </row>
    <row r="9" spans="1:33" ht="12.75">
      <c r="A9" s="31" t="s">
        <v>365</v>
      </c>
      <c r="B9" s="33">
        <f>(83/263)</f>
        <v>0.3155893536121673</v>
      </c>
      <c r="C9" s="34">
        <v>2</v>
      </c>
      <c r="D9" s="30">
        <v>3</v>
      </c>
      <c r="E9" s="45">
        <v>8</v>
      </c>
      <c r="F9" s="45">
        <v>4</v>
      </c>
      <c r="G9" s="30">
        <v>2</v>
      </c>
      <c r="H9" s="45">
        <v>4</v>
      </c>
      <c r="I9" s="45">
        <v>5</v>
      </c>
      <c r="J9" s="30">
        <v>4</v>
      </c>
      <c r="K9" s="30">
        <v>4</v>
      </c>
      <c r="L9" s="30">
        <v>1</v>
      </c>
      <c r="M9" s="30">
        <v>1</v>
      </c>
      <c r="N9" s="30">
        <v>1</v>
      </c>
      <c r="O9" s="30">
        <v>4</v>
      </c>
      <c r="P9" s="30">
        <v>3</v>
      </c>
      <c r="Q9" s="30">
        <v>1</v>
      </c>
      <c r="R9" s="30">
        <v>3</v>
      </c>
      <c r="S9" s="30">
        <v>3</v>
      </c>
      <c r="T9" s="45">
        <v>4</v>
      </c>
      <c r="U9" s="45">
        <v>6</v>
      </c>
      <c r="V9" s="30">
        <v>1</v>
      </c>
      <c r="W9" s="30">
        <v>3</v>
      </c>
      <c r="X9" s="30">
        <v>1</v>
      </c>
      <c r="Y9" s="45">
        <v>5</v>
      </c>
      <c r="Z9" s="45">
        <v>5</v>
      </c>
      <c r="AA9" s="45">
        <v>3</v>
      </c>
      <c r="AB9" s="43">
        <v>0</v>
      </c>
      <c r="AC9" s="30"/>
      <c r="AD9" s="45">
        <v>2</v>
      </c>
      <c r="AE9" s="30">
        <v>0</v>
      </c>
      <c r="AF9" s="32">
        <v>0</v>
      </c>
      <c r="AG9" s="38">
        <f aca="true" t="shared" si="0" ref="AG9:AG17">SUM(C9:AF9)</f>
        <v>83</v>
      </c>
    </row>
    <row r="10" spans="1:33" ht="12.75">
      <c r="A10" s="31" t="s">
        <v>401</v>
      </c>
      <c r="B10" s="33">
        <f>(42/263)</f>
        <v>0.1596958174904943</v>
      </c>
      <c r="C10" s="34">
        <v>2</v>
      </c>
      <c r="D10" s="30">
        <v>2</v>
      </c>
      <c r="E10" s="30">
        <v>1</v>
      </c>
      <c r="F10" s="30">
        <v>2</v>
      </c>
      <c r="G10" s="30">
        <v>2</v>
      </c>
      <c r="H10" s="30">
        <v>2</v>
      </c>
      <c r="I10" s="30">
        <v>4</v>
      </c>
      <c r="J10" s="30">
        <v>2</v>
      </c>
      <c r="K10" s="30">
        <v>1</v>
      </c>
      <c r="L10" s="30">
        <v>1</v>
      </c>
      <c r="M10" s="30">
        <v>1</v>
      </c>
      <c r="N10" s="42">
        <v>0</v>
      </c>
      <c r="O10" s="30">
        <v>1</v>
      </c>
      <c r="P10" s="45">
        <v>5</v>
      </c>
      <c r="Q10" s="30">
        <v>1</v>
      </c>
      <c r="R10" s="30">
        <v>1</v>
      </c>
      <c r="S10" s="30">
        <v>0</v>
      </c>
      <c r="T10" s="30">
        <v>1</v>
      </c>
      <c r="U10" s="30">
        <v>2</v>
      </c>
      <c r="V10" s="45">
        <v>3</v>
      </c>
      <c r="W10" s="30">
        <v>2</v>
      </c>
      <c r="X10" s="30">
        <v>3</v>
      </c>
      <c r="Y10" s="30">
        <v>0</v>
      </c>
      <c r="Z10" s="30">
        <v>0</v>
      </c>
      <c r="AA10" s="30">
        <v>1</v>
      </c>
      <c r="AB10" s="30">
        <v>1</v>
      </c>
      <c r="AC10" s="30"/>
      <c r="AD10" s="30">
        <v>1</v>
      </c>
      <c r="AE10" s="30">
        <v>0</v>
      </c>
      <c r="AF10" s="32">
        <v>0</v>
      </c>
      <c r="AG10" s="38">
        <f t="shared" si="0"/>
        <v>42</v>
      </c>
    </row>
    <row r="11" spans="1:33" ht="12.75">
      <c r="A11" s="31" t="s">
        <v>366</v>
      </c>
      <c r="B11" s="33">
        <f>(63/263)</f>
        <v>0.23954372623574144</v>
      </c>
      <c r="C11" s="34">
        <v>2</v>
      </c>
      <c r="D11" s="30">
        <v>2</v>
      </c>
      <c r="E11" s="30">
        <v>1</v>
      </c>
      <c r="F11" s="30">
        <v>2</v>
      </c>
      <c r="G11" s="45">
        <v>5</v>
      </c>
      <c r="H11" s="30">
        <v>2</v>
      </c>
      <c r="I11" s="43">
        <v>0</v>
      </c>
      <c r="J11" s="30">
        <v>4</v>
      </c>
      <c r="K11" s="30">
        <v>4</v>
      </c>
      <c r="L11" s="30">
        <v>1</v>
      </c>
      <c r="M11" s="30">
        <v>4</v>
      </c>
      <c r="N11" s="30">
        <v>4</v>
      </c>
      <c r="O11" s="30">
        <v>3</v>
      </c>
      <c r="P11" s="30">
        <v>1</v>
      </c>
      <c r="Q11" s="30">
        <v>2</v>
      </c>
      <c r="R11" s="45">
        <v>6</v>
      </c>
      <c r="S11" s="45">
        <v>5</v>
      </c>
      <c r="T11" s="30">
        <v>1</v>
      </c>
      <c r="U11" s="30">
        <v>1</v>
      </c>
      <c r="V11" s="30">
        <v>2</v>
      </c>
      <c r="W11" s="30">
        <v>2</v>
      </c>
      <c r="X11" s="45">
        <v>4</v>
      </c>
      <c r="Y11" s="30">
        <v>2</v>
      </c>
      <c r="Z11" s="30">
        <v>1</v>
      </c>
      <c r="AA11" s="30">
        <v>0</v>
      </c>
      <c r="AB11" s="30">
        <v>0</v>
      </c>
      <c r="AC11" s="30">
        <v>1</v>
      </c>
      <c r="AD11" s="30">
        <v>0</v>
      </c>
      <c r="AE11" s="30">
        <v>0</v>
      </c>
      <c r="AF11" s="32">
        <v>1</v>
      </c>
      <c r="AG11" s="38">
        <f t="shared" si="0"/>
        <v>63</v>
      </c>
    </row>
    <row r="12" spans="1:33" ht="12.75">
      <c r="A12" s="31" t="s">
        <v>367</v>
      </c>
      <c r="B12" s="33">
        <f>(16/263)</f>
        <v>0.060836501901140684</v>
      </c>
      <c r="C12" s="44">
        <v>0</v>
      </c>
      <c r="D12" s="30">
        <v>1</v>
      </c>
      <c r="E12" s="30">
        <v>0</v>
      </c>
      <c r="F12" s="30">
        <v>1</v>
      </c>
      <c r="G12" s="30">
        <v>1</v>
      </c>
      <c r="H12" s="30">
        <v>1</v>
      </c>
      <c r="I12" s="30">
        <v>1</v>
      </c>
      <c r="J12" s="30">
        <v>0</v>
      </c>
      <c r="K12" s="30">
        <v>0</v>
      </c>
      <c r="L12" s="30">
        <v>0</v>
      </c>
      <c r="M12" s="30">
        <v>1</v>
      </c>
      <c r="N12" s="30">
        <v>3</v>
      </c>
      <c r="O12" s="30">
        <v>1</v>
      </c>
      <c r="P12" s="30">
        <v>0</v>
      </c>
      <c r="Q12" s="30">
        <v>0</v>
      </c>
      <c r="R12" s="30">
        <v>0</v>
      </c>
      <c r="S12" s="30">
        <v>0</v>
      </c>
      <c r="T12" s="30">
        <v>2</v>
      </c>
      <c r="U12" s="30">
        <v>0</v>
      </c>
      <c r="V12" s="30">
        <v>1</v>
      </c>
      <c r="W12" s="30">
        <v>0</v>
      </c>
      <c r="X12" s="30">
        <v>1</v>
      </c>
      <c r="Y12" s="30">
        <v>1</v>
      </c>
      <c r="Z12" s="30">
        <v>0</v>
      </c>
      <c r="AA12" s="30">
        <v>0</v>
      </c>
      <c r="AB12" s="30">
        <v>0</v>
      </c>
      <c r="AC12" s="30">
        <v>1</v>
      </c>
      <c r="AD12" s="30">
        <v>0</v>
      </c>
      <c r="AE12" s="30">
        <v>0</v>
      </c>
      <c r="AF12" s="32">
        <v>0</v>
      </c>
      <c r="AG12" s="38">
        <f t="shared" si="0"/>
        <v>16</v>
      </c>
    </row>
    <row r="13" spans="1:33" ht="12.75">
      <c r="A13" s="31" t="s">
        <v>430</v>
      </c>
      <c r="B13" s="33">
        <f>(19/263)</f>
        <v>0.07224334600760456</v>
      </c>
      <c r="C13" s="34">
        <v>2</v>
      </c>
      <c r="D13" s="30">
        <v>1</v>
      </c>
      <c r="E13" s="30">
        <v>0</v>
      </c>
      <c r="F13" s="30">
        <v>0</v>
      </c>
      <c r="G13" s="30">
        <v>0</v>
      </c>
      <c r="H13" s="30">
        <v>1</v>
      </c>
      <c r="I13" s="30">
        <v>0</v>
      </c>
      <c r="J13" s="30">
        <v>0</v>
      </c>
      <c r="K13" s="30">
        <v>1</v>
      </c>
      <c r="L13" s="45">
        <v>5</v>
      </c>
      <c r="M13" s="30">
        <v>0</v>
      </c>
      <c r="N13" s="30">
        <v>1</v>
      </c>
      <c r="O13" s="30">
        <v>0</v>
      </c>
      <c r="P13" s="30">
        <v>0</v>
      </c>
      <c r="Q13" s="30">
        <v>1</v>
      </c>
      <c r="R13" s="30">
        <v>0</v>
      </c>
      <c r="S13" s="30">
        <v>0</v>
      </c>
      <c r="T13" s="30">
        <v>1</v>
      </c>
      <c r="U13" s="30">
        <v>0</v>
      </c>
      <c r="V13" s="30">
        <v>0</v>
      </c>
      <c r="W13" s="30">
        <v>3</v>
      </c>
      <c r="X13" s="30">
        <v>0</v>
      </c>
      <c r="Y13" s="30">
        <v>1</v>
      </c>
      <c r="Z13" s="30">
        <v>0</v>
      </c>
      <c r="AA13" s="30">
        <v>1</v>
      </c>
      <c r="AB13" s="30">
        <v>1</v>
      </c>
      <c r="AC13" s="30"/>
      <c r="AD13" s="30">
        <v>0</v>
      </c>
      <c r="AE13" s="30">
        <v>0</v>
      </c>
      <c r="AF13" s="32">
        <v>0</v>
      </c>
      <c r="AG13" s="38">
        <f t="shared" si="0"/>
        <v>19</v>
      </c>
    </row>
    <row r="14" spans="1:33" ht="12.75">
      <c r="A14" s="31" t="s">
        <v>402</v>
      </c>
      <c r="B14" s="33">
        <f>(8/263)</f>
        <v>0.030418250950570342</v>
      </c>
      <c r="C14" s="34">
        <v>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1</v>
      </c>
      <c r="M14" s="30">
        <v>1</v>
      </c>
      <c r="N14" s="30">
        <v>1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2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1</v>
      </c>
      <c r="AD14" s="30">
        <v>0</v>
      </c>
      <c r="AE14" s="30">
        <v>0</v>
      </c>
      <c r="AF14" s="32">
        <v>0</v>
      </c>
      <c r="AG14" s="38">
        <f t="shared" si="0"/>
        <v>8</v>
      </c>
    </row>
    <row r="15" spans="1:33" ht="12.75">
      <c r="A15" s="31" t="s">
        <v>429</v>
      </c>
      <c r="B15" s="33">
        <f>(12/263)</f>
        <v>0.045627376425855515</v>
      </c>
      <c r="C15" s="34">
        <v>0</v>
      </c>
      <c r="D15" s="30">
        <v>1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</v>
      </c>
      <c r="M15" s="30">
        <v>2</v>
      </c>
      <c r="N15" s="30">
        <v>0</v>
      </c>
      <c r="O15" s="30">
        <v>0</v>
      </c>
      <c r="P15" s="30">
        <v>1</v>
      </c>
      <c r="Q15" s="30">
        <v>0</v>
      </c>
      <c r="R15" s="30">
        <v>0</v>
      </c>
      <c r="S15" s="30">
        <v>2</v>
      </c>
      <c r="T15" s="30">
        <v>1</v>
      </c>
      <c r="U15" s="30">
        <v>1</v>
      </c>
      <c r="V15" s="30">
        <v>1</v>
      </c>
      <c r="W15" s="30">
        <v>0</v>
      </c>
      <c r="X15" s="30">
        <v>1</v>
      </c>
      <c r="Y15" s="30">
        <v>0</v>
      </c>
      <c r="Z15" s="30">
        <v>0</v>
      </c>
      <c r="AA15" s="30">
        <v>0</v>
      </c>
      <c r="AB15" s="30">
        <v>1</v>
      </c>
      <c r="AC15" s="30"/>
      <c r="AD15" s="30">
        <v>0</v>
      </c>
      <c r="AE15" s="30">
        <v>0</v>
      </c>
      <c r="AF15" s="32">
        <v>0</v>
      </c>
      <c r="AG15" s="38">
        <f t="shared" si="0"/>
        <v>12</v>
      </c>
    </row>
    <row r="16" spans="1:33" ht="12.75">
      <c r="A16" s="31" t="s">
        <v>368</v>
      </c>
      <c r="B16" s="33">
        <f>(10/263)</f>
        <v>0.03802281368821293</v>
      </c>
      <c r="C16" s="34">
        <v>0</v>
      </c>
      <c r="D16" s="30">
        <v>0</v>
      </c>
      <c r="E16" s="30">
        <v>0</v>
      </c>
      <c r="F16" s="30">
        <v>1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2</v>
      </c>
      <c r="AA16" s="30">
        <v>2</v>
      </c>
      <c r="AB16" s="30">
        <v>1</v>
      </c>
      <c r="AC16" s="45">
        <v>2</v>
      </c>
      <c r="AD16" s="30">
        <v>1</v>
      </c>
      <c r="AE16" s="30">
        <v>0</v>
      </c>
      <c r="AF16" s="32">
        <v>0</v>
      </c>
      <c r="AG16" s="38">
        <f t="shared" si="0"/>
        <v>10</v>
      </c>
    </row>
    <row r="17" spans="1:33" ht="13.5" thickBot="1">
      <c r="A17" s="31" t="s">
        <v>369</v>
      </c>
      <c r="B17" s="33">
        <f>(10/263)</f>
        <v>0.03802281368821293</v>
      </c>
      <c r="C17" s="36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46">
        <v>5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1</v>
      </c>
      <c r="AB17" s="46">
        <v>3</v>
      </c>
      <c r="AC17" s="37"/>
      <c r="AD17" s="37">
        <v>0</v>
      </c>
      <c r="AE17" s="37">
        <v>1</v>
      </c>
      <c r="AF17" s="39">
        <v>0</v>
      </c>
      <c r="AG17" s="41">
        <f t="shared" si="0"/>
        <v>10</v>
      </c>
    </row>
    <row r="18" spans="3:33" ht="13.5" thickTop="1">
      <c r="C18" s="35">
        <f>SUM(C9:C17)</f>
        <v>10</v>
      </c>
      <c r="D18" s="35">
        <f>SUM(D9:D17)</f>
        <v>10</v>
      </c>
      <c r="E18" s="35">
        <f aca="true" t="shared" si="1" ref="E18:AF18">SUM(E9:E17)</f>
        <v>10</v>
      </c>
      <c r="F18" s="35">
        <f t="shared" si="1"/>
        <v>10</v>
      </c>
      <c r="G18" s="35">
        <f t="shared" si="1"/>
        <v>10</v>
      </c>
      <c r="H18" s="35">
        <f t="shared" si="1"/>
        <v>10</v>
      </c>
      <c r="I18" s="35">
        <f t="shared" si="1"/>
        <v>10</v>
      </c>
      <c r="J18" s="35">
        <f t="shared" si="1"/>
        <v>10</v>
      </c>
      <c r="K18" s="35">
        <f t="shared" si="1"/>
        <v>10</v>
      </c>
      <c r="L18" s="35">
        <f t="shared" si="1"/>
        <v>10</v>
      </c>
      <c r="M18" s="35">
        <f t="shared" si="1"/>
        <v>10</v>
      </c>
      <c r="N18" s="35">
        <f t="shared" si="1"/>
        <v>10</v>
      </c>
      <c r="O18" s="35">
        <f t="shared" si="1"/>
        <v>10</v>
      </c>
      <c r="P18" s="35">
        <f t="shared" si="1"/>
        <v>10</v>
      </c>
      <c r="Q18" s="35">
        <f t="shared" si="1"/>
        <v>10</v>
      </c>
      <c r="R18" s="35">
        <f t="shared" si="1"/>
        <v>10</v>
      </c>
      <c r="S18" s="35">
        <f t="shared" si="1"/>
        <v>10</v>
      </c>
      <c r="T18" s="35">
        <f t="shared" si="1"/>
        <v>10</v>
      </c>
      <c r="U18" s="35">
        <f t="shared" si="1"/>
        <v>10</v>
      </c>
      <c r="V18" s="35">
        <f t="shared" si="1"/>
        <v>10</v>
      </c>
      <c r="W18" s="35">
        <f t="shared" si="1"/>
        <v>10</v>
      </c>
      <c r="X18" s="35">
        <f t="shared" si="1"/>
        <v>10</v>
      </c>
      <c r="Y18" s="35">
        <f t="shared" si="1"/>
        <v>9</v>
      </c>
      <c r="Z18" s="35">
        <f t="shared" si="1"/>
        <v>8</v>
      </c>
      <c r="AA18" s="35">
        <f t="shared" si="1"/>
        <v>8</v>
      </c>
      <c r="AB18" s="35">
        <f t="shared" si="1"/>
        <v>7</v>
      </c>
      <c r="AC18" s="35">
        <f t="shared" si="1"/>
        <v>5</v>
      </c>
      <c r="AD18" s="35">
        <f t="shared" si="1"/>
        <v>4</v>
      </c>
      <c r="AE18" s="35">
        <f t="shared" si="1"/>
        <v>1</v>
      </c>
      <c r="AF18" s="35">
        <f t="shared" si="1"/>
        <v>1</v>
      </c>
      <c r="AG18" s="40">
        <f>SUM(C18:AF18)</f>
        <v>263</v>
      </c>
    </row>
    <row r="20" spans="1:6" ht="12.75">
      <c r="A20" s="108"/>
      <c r="B20" s="192" t="s">
        <v>405</v>
      </c>
      <c r="C20" s="193"/>
      <c r="D20" s="193"/>
      <c r="E20" s="193"/>
      <c r="F20" s="193"/>
    </row>
    <row r="21" spans="1:4" ht="12.75">
      <c r="A21" s="108"/>
      <c r="B21" s="30"/>
      <c r="C21" s="30" t="s">
        <v>431</v>
      </c>
      <c r="D21" s="30" t="s">
        <v>62</v>
      </c>
    </row>
    <row r="22" spans="2:4" ht="12.75">
      <c r="B22" s="31" t="s">
        <v>75</v>
      </c>
      <c r="C22" s="30">
        <f>COUNTIF('Choix en ordre'!$B$8:$B$270,B22)</f>
        <v>7</v>
      </c>
      <c r="D22" s="30">
        <v>2</v>
      </c>
    </row>
    <row r="23" spans="2:4" ht="12.75">
      <c r="B23" s="31" t="s">
        <v>125</v>
      </c>
      <c r="C23" s="30">
        <f>COUNTIF('Choix en ordre'!$B$8:$B$270,B23)</f>
        <v>11</v>
      </c>
      <c r="D23" s="30">
        <v>3</v>
      </c>
    </row>
    <row r="24" spans="2:4" ht="12.75">
      <c r="B24" s="31" t="s">
        <v>103</v>
      </c>
      <c r="C24" s="30">
        <f>COUNTIF('Choix en ordre'!$B$8:$B$270,B24)</f>
        <v>9</v>
      </c>
      <c r="D24" s="30">
        <v>1</v>
      </c>
    </row>
    <row r="25" spans="2:4" ht="12.75">
      <c r="B25" s="31" t="s">
        <v>120</v>
      </c>
      <c r="C25" s="30">
        <f>COUNTIF('Choix en ordre'!$B$8:$B$270,B25)</f>
        <v>12</v>
      </c>
      <c r="D25" s="30">
        <v>1</v>
      </c>
    </row>
    <row r="26" spans="2:4" ht="12.75">
      <c r="B26" s="31" t="s">
        <v>105</v>
      </c>
      <c r="C26" s="30">
        <f>COUNTIF('Choix en ordre'!$B$8:$B$270,B26)</f>
        <v>8</v>
      </c>
      <c r="D26" s="30">
        <v>1</v>
      </c>
    </row>
    <row r="27" spans="2:4" ht="12.75">
      <c r="B27" s="31" t="s">
        <v>55</v>
      </c>
      <c r="C27" s="30">
        <f>COUNTIF('Choix en ordre'!$B$8:$B$270,B27)</f>
        <v>9</v>
      </c>
      <c r="D27" s="30">
        <v>0</v>
      </c>
    </row>
    <row r="28" spans="2:4" ht="12.75">
      <c r="B28" s="31" t="s">
        <v>186</v>
      </c>
      <c r="C28" s="30">
        <f>COUNTIF('Choix en ordre'!$B$8:$B$270,B28)</f>
        <v>6</v>
      </c>
      <c r="D28" s="30">
        <v>2</v>
      </c>
    </row>
    <row r="29" spans="2:4" ht="12.75">
      <c r="B29" s="31" t="s">
        <v>78</v>
      </c>
      <c r="C29" s="30">
        <f>COUNTIF('Choix en ordre'!$B$8:$B$270,B29)</f>
        <v>14</v>
      </c>
      <c r="D29" s="30">
        <v>2</v>
      </c>
    </row>
    <row r="30" spans="2:4" ht="12.75">
      <c r="B30" s="31" t="s">
        <v>84</v>
      </c>
      <c r="C30" s="30">
        <f>COUNTIF('Choix en ordre'!$B$8:$B$270,B30)</f>
        <v>9</v>
      </c>
      <c r="D30" s="30">
        <v>0</v>
      </c>
    </row>
    <row r="31" spans="2:4" ht="12.75">
      <c r="B31" s="31" t="s">
        <v>118</v>
      </c>
      <c r="C31" s="30">
        <f>COUNTIF('Choix en ordre'!$B$8:$B$270,B31)</f>
        <v>8</v>
      </c>
      <c r="D31" s="30">
        <v>1</v>
      </c>
    </row>
    <row r="32" spans="2:4" ht="12.75">
      <c r="B32" s="31" t="s">
        <v>89</v>
      </c>
      <c r="C32" s="30">
        <f>COUNTIF('Choix en ordre'!$B$8:$B$270,B32)</f>
        <v>10</v>
      </c>
      <c r="D32" s="30">
        <v>0</v>
      </c>
    </row>
    <row r="33" spans="2:4" ht="12.75">
      <c r="B33" s="31" t="s">
        <v>111</v>
      </c>
      <c r="C33" s="30">
        <f>COUNTIF('Choix en ordre'!$B$8:$B$270,B33)</f>
        <v>8</v>
      </c>
      <c r="D33" s="30">
        <v>0</v>
      </c>
    </row>
    <row r="34" spans="2:4" ht="12.75">
      <c r="B34" s="31" t="s">
        <v>36</v>
      </c>
      <c r="C34" s="30">
        <f>COUNTIF('Choix en ordre'!$B$8:$B$270,B34)</f>
        <v>10</v>
      </c>
      <c r="D34" s="30">
        <v>0</v>
      </c>
    </row>
    <row r="35" spans="2:4" ht="12.75">
      <c r="B35" s="31" t="s">
        <v>20</v>
      </c>
      <c r="C35" s="30">
        <f>COUNTIF('Choix en ordre'!$B$8:$B$270,B35)</f>
        <v>8</v>
      </c>
      <c r="D35" s="30">
        <v>0</v>
      </c>
    </row>
    <row r="36" spans="2:4" ht="12.75">
      <c r="B36" s="31" t="s">
        <v>97</v>
      </c>
      <c r="C36" s="30">
        <f>COUNTIF('Choix en ordre'!$B$8:$B$270,B36)</f>
        <v>8</v>
      </c>
      <c r="D36" s="30">
        <v>0</v>
      </c>
    </row>
    <row r="37" spans="2:4" ht="12.75">
      <c r="B37" s="31" t="s">
        <v>109</v>
      </c>
      <c r="C37" s="30">
        <f>COUNTIF('Choix en ordre'!$B$8:$B$270,B37)</f>
        <v>5</v>
      </c>
      <c r="D37" s="30">
        <v>1</v>
      </c>
    </row>
    <row r="38" spans="2:4" ht="12.75">
      <c r="B38" s="31" t="s">
        <v>13</v>
      </c>
      <c r="C38" s="30">
        <f>COUNTIF('Choix en ordre'!$B$8:$B$270,B38)</f>
        <v>7</v>
      </c>
      <c r="D38" s="30">
        <v>1</v>
      </c>
    </row>
    <row r="39" spans="2:4" ht="12.75">
      <c r="B39" s="31" t="s">
        <v>86</v>
      </c>
      <c r="C39" s="30">
        <f>COUNTIF('Choix en ordre'!$B$8:$B$270,B39)</f>
        <v>1</v>
      </c>
      <c r="D39" s="30">
        <v>0</v>
      </c>
    </row>
    <row r="40" spans="2:4" ht="12.75">
      <c r="B40" s="31" t="s">
        <v>29</v>
      </c>
      <c r="C40" s="30">
        <f>COUNTIF('Choix en ordre'!$B$8:$B$270,B40)</f>
        <v>15</v>
      </c>
      <c r="D40" s="30">
        <v>0</v>
      </c>
    </row>
    <row r="41" spans="2:4" ht="12.75">
      <c r="B41" s="31" t="s">
        <v>25</v>
      </c>
      <c r="C41" s="30">
        <f>COUNTIF('Choix en ordre'!$B$8:$B$270,B41)</f>
        <v>7</v>
      </c>
      <c r="D41" s="30">
        <v>1</v>
      </c>
    </row>
    <row r="42" spans="2:4" ht="12.75">
      <c r="B42" s="31" t="s">
        <v>34</v>
      </c>
      <c r="C42" s="30">
        <f>COUNTIF('Choix en ordre'!$B$8:$B$270,B42)</f>
        <v>7</v>
      </c>
      <c r="D42" s="30">
        <v>1</v>
      </c>
    </row>
    <row r="43" spans="2:4" ht="12.75">
      <c r="B43" s="31" t="s">
        <v>154</v>
      </c>
      <c r="C43" s="30">
        <f>COUNTIF('Choix en ordre'!$B$8:$B$270,B43)</f>
        <v>6</v>
      </c>
      <c r="D43" s="30">
        <v>0</v>
      </c>
    </row>
    <row r="44" spans="2:4" ht="12.75">
      <c r="B44" s="31" t="s">
        <v>17</v>
      </c>
      <c r="C44" s="30">
        <f>COUNTIF('Choix en ordre'!$B$8:$B$270,B44)</f>
        <v>8</v>
      </c>
      <c r="D44" s="30">
        <v>0</v>
      </c>
    </row>
    <row r="45" spans="2:4" ht="12.75">
      <c r="B45" s="31" t="s">
        <v>50</v>
      </c>
      <c r="C45" s="30">
        <f>COUNTIF('Choix en ordre'!$B$8:$B$270,B45)</f>
        <v>9</v>
      </c>
      <c r="D45" s="30">
        <v>1</v>
      </c>
    </row>
    <row r="46" spans="2:4" ht="12.75">
      <c r="B46" s="31" t="s">
        <v>81</v>
      </c>
      <c r="C46" s="30">
        <f>COUNTIF('Choix en ordre'!$B$8:$B$270,B46)</f>
        <v>5</v>
      </c>
      <c r="D46" s="30">
        <v>1</v>
      </c>
    </row>
    <row r="47" spans="2:4" ht="12.75">
      <c r="B47" s="31" t="s">
        <v>70</v>
      </c>
      <c r="C47" s="30">
        <f>COUNTIF('Choix en ordre'!$B$8:$B$270,B47)</f>
        <v>5</v>
      </c>
      <c r="D47" s="30">
        <v>0</v>
      </c>
    </row>
    <row r="48" spans="2:4" ht="12.75">
      <c r="B48" s="31" t="s">
        <v>57</v>
      </c>
      <c r="C48" s="30">
        <f>COUNTIF('Choix en ordre'!$B$8:$B$270,B48)</f>
        <v>10</v>
      </c>
      <c r="D48" s="30">
        <v>4</v>
      </c>
    </row>
    <row r="49" spans="2:4" ht="12.75">
      <c r="B49" s="31" t="s">
        <v>10</v>
      </c>
      <c r="C49" s="30">
        <f>COUNTIF('Choix en ordre'!$B$8:$B$270,B49)</f>
        <v>10</v>
      </c>
      <c r="D49" s="30">
        <v>2</v>
      </c>
    </row>
    <row r="50" spans="2:4" ht="12.75">
      <c r="B50" s="31" t="s">
        <v>140</v>
      </c>
      <c r="C50" s="30">
        <f>COUNTIF('Choix en ordre'!$B$8:$B$270,B50)</f>
        <v>11</v>
      </c>
      <c r="D50" s="30">
        <v>0</v>
      </c>
    </row>
    <row r="51" spans="2:4" ht="12.75">
      <c r="B51" s="31" t="s">
        <v>91</v>
      </c>
      <c r="C51" s="30">
        <f>COUNTIF('Choix en ordre'!$B$8:$B$270,B51)</f>
        <v>10</v>
      </c>
      <c r="D51" s="30">
        <v>0</v>
      </c>
    </row>
    <row r="52" spans="2:4" ht="12.75">
      <c r="B52" s="31" t="s">
        <v>41</v>
      </c>
      <c r="C52" s="30">
        <f>COUNTIF('Choix en ordre'!$B$8:$B$270,B52)</f>
        <v>10</v>
      </c>
      <c r="D52" s="30">
        <v>0</v>
      </c>
    </row>
    <row r="53" spans="2:4" ht="12.75">
      <c r="B53" s="31" t="s">
        <v>431</v>
      </c>
      <c r="C53" s="30">
        <f>SUM(C22:C52)</f>
        <v>263</v>
      </c>
      <c r="D53" s="30">
        <f>SUM(D22:D52)</f>
        <v>25</v>
      </c>
    </row>
  </sheetData>
  <mergeCells count="2">
    <mergeCell ref="A8:B8"/>
    <mergeCell ref="B20:F20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Y84"/>
  <sheetViews>
    <sheetView workbookViewId="0" topLeftCell="A57">
      <selection activeCell="B89" sqref="B89"/>
    </sheetView>
  </sheetViews>
  <sheetFormatPr defaultColWidth="11.421875" defaultRowHeight="12.75"/>
  <cols>
    <col min="2" max="2" width="6.28125" style="0" customWidth="1"/>
    <col min="3" max="3" width="6.421875" style="0" customWidth="1"/>
    <col min="4" max="4" width="7.00390625" style="0" customWidth="1"/>
    <col min="5" max="5" width="17.140625" style="0" customWidth="1"/>
    <col min="6" max="6" width="6.421875" style="0" customWidth="1"/>
    <col min="7" max="7" width="6.28125" style="0" customWidth="1"/>
    <col min="8" max="8" width="6.57421875" style="0" customWidth="1"/>
    <col min="9" max="9" width="7.00390625" style="0" customWidth="1"/>
    <col min="10" max="10" width="6.140625" style="0" customWidth="1"/>
    <col min="11" max="11" width="8.7109375" style="0" customWidth="1"/>
    <col min="14" max="14" width="6.8515625" style="0" customWidth="1"/>
    <col min="15" max="15" width="4.28125" style="0" customWidth="1"/>
    <col min="16" max="16" width="7.140625" style="0" customWidth="1"/>
    <col min="17" max="17" width="18.8515625" style="0" customWidth="1"/>
    <col min="18" max="18" width="5.57421875" style="0" customWidth="1"/>
    <col min="19" max="19" width="5.7109375" style="0" customWidth="1"/>
    <col min="20" max="20" width="6.7109375" style="0" customWidth="1"/>
    <col min="21" max="21" width="5.8515625" style="0" customWidth="1"/>
    <col min="22" max="22" width="7.28125" style="0" customWidth="1"/>
    <col min="23" max="23" width="6.8515625" style="0" customWidth="1"/>
    <col min="24" max="24" width="8.00390625" style="0" customWidth="1"/>
  </cols>
  <sheetData>
    <row r="7" spans="1:24" ht="15.75">
      <c r="A7" s="194" t="s">
        <v>442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 t="s">
        <v>443</v>
      </c>
      <c r="O7" s="195"/>
      <c r="P7" s="195"/>
      <c r="Q7" s="195"/>
      <c r="R7" s="195"/>
      <c r="S7" s="195"/>
      <c r="T7" s="195"/>
      <c r="U7" s="195"/>
      <c r="V7" s="195"/>
      <c r="W7" s="195"/>
      <c r="X7" s="195"/>
    </row>
    <row r="8" spans="1:24" ht="13.5" thickBot="1">
      <c r="A8" s="127" t="s">
        <v>3</v>
      </c>
      <c r="B8" s="127" t="s">
        <v>2</v>
      </c>
      <c r="C8" s="128" t="s">
        <v>440</v>
      </c>
      <c r="D8" s="128" t="s">
        <v>5</v>
      </c>
      <c r="E8" s="128" t="s">
        <v>6</v>
      </c>
      <c r="F8" s="128" t="s">
        <v>406</v>
      </c>
      <c r="G8" s="128" t="s">
        <v>438</v>
      </c>
      <c r="H8" s="128" t="s">
        <v>439</v>
      </c>
      <c r="I8" s="128" t="s">
        <v>413</v>
      </c>
      <c r="J8" s="128" t="s">
        <v>407</v>
      </c>
      <c r="K8" s="129" t="s">
        <v>408</v>
      </c>
      <c r="L8" s="40" t="s">
        <v>409</v>
      </c>
      <c r="M8" s="48" t="s">
        <v>444</v>
      </c>
      <c r="N8" s="127" t="s">
        <v>2</v>
      </c>
      <c r="O8" s="128" t="s">
        <v>440</v>
      </c>
      <c r="P8" s="128" t="s">
        <v>5</v>
      </c>
      <c r="Q8" s="128" t="s">
        <v>6</v>
      </c>
      <c r="R8" s="128" t="s">
        <v>406</v>
      </c>
      <c r="S8" s="128" t="s">
        <v>438</v>
      </c>
      <c r="T8" s="128" t="s">
        <v>439</v>
      </c>
      <c r="U8" s="128" t="s">
        <v>413</v>
      </c>
      <c r="V8" s="128" t="s">
        <v>407</v>
      </c>
      <c r="W8" s="129" t="s">
        <v>408</v>
      </c>
      <c r="X8" s="40" t="s">
        <v>409</v>
      </c>
    </row>
    <row r="9" spans="1:24" ht="13.5" thickTop="1">
      <c r="A9" s="120" t="s">
        <v>16</v>
      </c>
      <c r="B9" s="121" t="s">
        <v>441</v>
      </c>
      <c r="C9" s="118">
        <f>'[1]Pool-gardien'!$B$127</f>
        <v>25.542465753424658</v>
      </c>
      <c r="D9" s="118" t="str">
        <f>'[1]Pool-gardien'!$C$127</f>
        <v>Chi</v>
      </c>
      <c r="E9" s="119" t="str">
        <f>'[1]Pool-gardien'!$D$127</f>
        <v>Antti Niemi</v>
      </c>
      <c r="F9" s="118">
        <f>'[1]Pool-gardien'!$E$127</f>
        <v>3</v>
      </c>
      <c r="G9" s="118">
        <f>'[1]Pool-gardien'!$F$127</f>
        <v>1</v>
      </c>
      <c r="H9" s="118">
        <f>'[1]Pool-gardien'!$G$127</f>
        <v>1</v>
      </c>
      <c r="I9" s="118">
        <f>'[1]Pool-gardien'!$H$127</f>
        <v>0</v>
      </c>
      <c r="J9" s="118">
        <f>'[1]Pool-gardien'!$I$127</f>
        <v>0</v>
      </c>
      <c r="K9" s="124">
        <f>'[1]Pool-gardien'!$J$127</f>
        <v>0</v>
      </c>
      <c r="L9" s="30">
        <f>(G9*2)+H9+(I9*4)+(J9*10)+K9</f>
        <v>3</v>
      </c>
      <c r="M9" s="31" t="s">
        <v>436</v>
      </c>
      <c r="N9" s="121" t="s">
        <v>12</v>
      </c>
      <c r="O9" s="118">
        <f>'[1]POOL-joueus'!B451</f>
        <v>34.6958904109589</v>
      </c>
      <c r="P9" s="118" t="str">
        <f>'[1]POOL-joueus'!C451</f>
        <v>Nsh</v>
      </c>
      <c r="Q9" s="130" t="str">
        <f>'[1]POOL-joueus'!D451</f>
        <v>Steve Sullivan</v>
      </c>
      <c r="R9" s="118">
        <v>0</v>
      </c>
      <c r="S9" s="118">
        <v>0</v>
      </c>
      <c r="T9" s="118">
        <v>0</v>
      </c>
      <c r="U9" s="118"/>
      <c r="V9" s="118"/>
      <c r="W9" s="124"/>
      <c r="X9" s="30">
        <f>(S9*2)+T9+(U9*4)+(V9*10)+W9</f>
        <v>0</v>
      </c>
    </row>
    <row r="10" spans="1:24" ht="12.75">
      <c r="A10" s="48" t="s">
        <v>45</v>
      </c>
      <c r="B10" s="122" t="s">
        <v>441</v>
      </c>
      <c r="C10" s="116">
        <f>'[1]Pool-gardien'!$B$126</f>
        <v>24.2</v>
      </c>
      <c r="D10" s="116" t="str">
        <f>'[1]Pool-gardien'!$C$126</f>
        <v>Chi</v>
      </c>
      <c r="E10" s="117" t="str">
        <f>'[1]Pool-gardien'!$D$126</f>
        <v>Corey Crawfort</v>
      </c>
      <c r="F10" s="116">
        <f>'[1]Pool-gardien'!$E$126</f>
        <v>0</v>
      </c>
      <c r="G10" s="116">
        <f>'[1]Pool-gardien'!$F$126</f>
        <v>0</v>
      </c>
      <c r="H10" s="116">
        <f>'[1]Pool-gardien'!$G$31</f>
        <v>5</v>
      </c>
      <c r="I10" s="116">
        <f>'[1]Pool-gardien'!$H$126</f>
        <v>0</v>
      </c>
      <c r="J10" s="116">
        <f>'[1]Pool-gardien'!$I$31</f>
        <v>0</v>
      </c>
      <c r="K10" s="125">
        <f>'[1]Pool-gardien'!$J$126</f>
        <v>0</v>
      </c>
      <c r="L10" s="30">
        <f>(G10*2)+H10+(I10*4)+(J10*10)+K10</f>
        <v>5</v>
      </c>
      <c r="M10" s="31" t="s">
        <v>436</v>
      </c>
      <c r="N10" s="122" t="s">
        <v>93</v>
      </c>
      <c r="O10" s="116">
        <f>'[1]Pool-gardien'!B84</f>
        <v>24.07945205479452</v>
      </c>
      <c r="P10" s="116" t="str">
        <f>'[1]Pool-gardien'!C84</f>
        <v>Phx</v>
      </c>
      <c r="Q10" s="117" t="str">
        <f>'[1]Pool-gardien'!D84</f>
        <v>Al Montoya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25">
        <v>0</v>
      </c>
      <c r="X10" s="30">
        <f>(S10*2)+T10+(U10*4)+(V10*10)+W10</f>
        <v>0</v>
      </c>
    </row>
    <row r="11" spans="1:24" ht="12.75">
      <c r="A11" s="48" t="s">
        <v>23</v>
      </c>
      <c r="B11" s="122" t="s">
        <v>33</v>
      </c>
      <c r="C11" s="116">
        <f>'[1]POOL-joueus'!$B$390</f>
        <v>26.01095890410959</v>
      </c>
      <c r="D11" s="116" t="str">
        <f>'[1]POOL-joueus'!$C$390</f>
        <v>T.B.</v>
      </c>
      <c r="E11" s="117" t="str">
        <f>'[1]POOL-joueus'!$D$390</f>
        <v>Lukas Krajicek</v>
      </c>
      <c r="F11" s="116">
        <f>'[1]POOL-joueus'!$E$390</f>
        <v>56</v>
      </c>
      <c r="G11" s="116">
        <f>'[1]POOL-joueus'!$F$390</f>
        <v>1</v>
      </c>
      <c r="H11" s="116">
        <f>'[1]POOL-joueus'!$G$390</f>
        <v>10</v>
      </c>
      <c r="L11" s="126">
        <f>SUM(G11:H11)</f>
        <v>11</v>
      </c>
      <c r="M11" s="31" t="s">
        <v>437</v>
      </c>
      <c r="N11" s="122" t="s">
        <v>33</v>
      </c>
      <c r="O11" s="116">
        <f>'[1]POOL-joueus'!B416</f>
        <v>24.65205479452055</v>
      </c>
      <c r="P11" s="116" t="str">
        <f>'[1]POOL-joueus'!C416</f>
        <v>Mtl</v>
      </c>
      <c r="Q11" s="117" t="str">
        <f>'[1]POOL-joueus'!D416</f>
        <v>Ryan O'Byrne</v>
      </c>
      <c r="R11" s="116"/>
      <c r="S11" s="116"/>
      <c r="T11" s="116"/>
      <c r="X11" s="126">
        <f>SUM(S11:T11)</f>
        <v>0</v>
      </c>
    </row>
    <row r="12" spans="1:24" ht="12.75">
      <c r="A12" s="48" t="s">
        <v>32</v>
      </c>
      <c r="B12" s="123" t="s">
        <v>9</v>
      </c>
      <c r="C12" s="113">
        <f>'[1]POOL-joueus'!$B$789</f>
        <v>25.443835616438356</v>
      </c>
      <c r="D12" s="113" t="str">
        <f>'[1]POOL-joueus'!$C$789</f>
        <v>Ott</v>
      </c>
      <c r="E12" s="114" t="str">
        <f>'[1]POOL-joueus'!$D$789</f>
        <v>Jesse Winchester</v>
      </c>
      <c r="F12" s="113">
        <f>('[1]POOL-joueus'!$E$789)-2</f>
        <v>10</v>
      </c>
      <c r="G12" s="113">
        <f>('[1]POOL-joueus'!$F$789)-0</f>
        <v>0</v>
      </c>
      <c r="H12" s="113">
        <f>('[1]POOL-joueus'!$G$789)-1</f>
        <v>1</v>
      </c>
      <c r="L12" s="126">
        <f aca="true" t="shared" si="0" ref="L12:L41">SUM(G12:H12)</f>
        <v>1</v>
      </c>
      <c r="M12" s="31" t="s">
        <v>435</v>
      </c>
      <c r="N12" s="123"/>
      <c r="O12" s="113"/>
      <c r="P12" s="113"/>
      <c r="Q12" s="114"/>
      <c r="R12" s="113"/>
      <c r="S12" s="113"/>
      <c r="T12" s="113"/>
      <c r="X12" s="126">
        <f aca="true" t="shared" si="1" ref="X12:X44">SUM(S12:T12)</f>
        <v>0</v>
      </c>
    </row>
    <row r="13" spans="1:24" ht="12.75">
      <c r="A13" s="48" t="s">
        <v>45</v>
      </c>
      <c r="B13" s="122" t="s">
        <v>9</v>
      </c>
      <c r="C13" s="109">
        <f>'[1]POOL-joueus'!$B$788</f>
        <v>20.136986301369863</v>
      </c>
      <c r="D13" s="109" t="str">
        <f>'[1]POOL-joueus'!$C$788</f>
        <v>L.A.</v>
      </c>
      <c r="E13" s="111" t="str">
        <f>'[1]POOL-joueus'!$D$788</f>
        <v>Oscar Moller</v>
      </c>
      <c r="F13" s="109">
        <f>'[1]POOL-joueus'!$E$788</f>
        <v>34</v>
      </c>
      <c r="G13" s="109">
        <f>'[1]POOL-joueus'!$F$788</f>
        <v>7</v>
      </c>
      <c r="H13" s="109">
        <f>'[1]POOL-joueus'!$G$788</f>
        <v>7</v>
      </c>
      <c r="L13" s="126">
        <f t="shared" si="0"/>
        <v>14</v>
      </c>
      <c r="M13" s="31" t="s">
        <v>435</v>
      </c>
      <c r="N13" s="122"/>
      <c r="O13" s="109"/>
      <c r="P13" s="109"/>
      <c r="Q13" s="111"/>
      <c r="R13" s="109"/>
      <c r="S13" s="109"/>
      <c r="T13" s="109"/>
      <c r="X13" s="126">
        <f t="shared" si="1"/>
        <v>0</v>
      </c>
    </row>
    <row r="14" spans="1:24" ht="12.75">
      <c r="A14" s="48" t="s">
        <v>52</v>
      </c>
      <c r="B14" s="123" t="s">
        <v>9</v>
      </c>
      <c r="C14" s="113">
        <f>'[1]POOL-joueus'!$B$554</f>
        <v>19.443835616438356</v>
      </c>
      <c r="D14" s="113" t="str">
        <f>'[1]POOL-joueus'!$C$554</f>
        <v>Nyi</v>
      </c>
      <c r="E14" s="114" t="str">
        <f>'[1]POOL-joueus'!$D$554</f>
        <v>Josh Bailey</v>
      </c>
      <c r="F14" s="116">
        <f>'[1]POOL-joueus'!$E$554</f>
        <v>52</v>
      </c>
      <c r="G14" s="116">
        <f>'[1]POOL-joueus'!$F$554</f>
        <v>3</v>
      </c>
      <c r="H14" s="116">
        <f>'[1]POOL-joueus'!$G$554</f>
        <v>16</v>
      </c>
      <c r="L14" s="126">
        <f t="shared" si="0"/>
        <v>19</v>
      </c>
      <c r="M14" s="31" t="s">
        <v>434</v>
      </c>
      <c r="N14" s="123"/>
      <c r="O14" s="113"/>
      <c r="P14" s="113"/>
      <c r="Q14" s="114"/>
      <c r="R14" s="116"/>
      <c r="S14" s="116"/>
      <c r="T14" s="116"/>
      <c r="X14" s="126">
        <f t="shared" si="1"/>
        <v>0</v>
      </c>
    </row>
    <row r="15" spans="1:24" ht="12.75">
      <c r="A15" s="48" t="s">
        <v>8</v>
      </c>
      <c r="B15" s="122" t="s">
        <v>19</v>
      </c>
      <c r="C15" s="109">
        <f>'[1]POOL-joueus'!$B$790</f>
        <v>24.583561643835615</v>
      </c>
      <c r="D15" s="109" t="str">
        <f>'[1]POOL-joueus'!$C$790</f>
        <v>N.J.</v>
      </c>
      <c r="E15" s="111" t="str">
        <f>'[1]POOL-joueus'!$D$790</f>
        <v>Anssi Salmela</v>
      </c>
      <c r="F15" s="115">
        <f>'[1]POOL-joueus'!$E$790-2</f>
        <v>15</v>
      </c>
      <c r="G15" s="115">
        <f>'[1]POOL-joueus'!$F$790</f>
        <v>0</v>
      </c>
      <c r="H15" s="115">
        <f>'[1]POOL-joueus'!$G$790</f>
        <v>3</v>
      </c>
      <c r="L15" s="126">
        <f t="shared" si="0"/>
        <v>3</v>
      </c>
      <c r="M15" s="31" t="s">
        <v>432</v>
      </c>
      <c r="N15" s="122"/>
      <c r="O15" s="109"/>
      <c r="P15" s="109"/>
      <c r="Q15" s="111"/>
      <c r="R15" s="115"/>
      <c r="S15" s="115"/>
      <c r="T15" s="115"/>
      <c r="X15" s="126">
        <f t="shared" si="1"/>
        <v>0</v>
      </c>
    </row>
    <row r="16" spans="1:24" ht="12.75">
      <c r="A16" s="48" t="s">
        <v>39</v>
      </c>
      <c r="B16" s="122" t="s">
        <v>24</v>
      </c>
      <c r="C16" s="109">
        <f>'[1]POOL-joueus'!$B$791</f>
        <v>22.835616438356166</v>
      </c>
      <c r="D16" s="109" t="str">
        <f>'[1]POOL-joueus'!$C$791</f>
        <v>Chi</v>
      </c>
      <c r="E16" s="111" t="str">
        <f>'[1]POOL-joueus'!$D$791</f>
        <v>Kris Versteeg</v>
      </c>
      <c r="F16" s="109">
        <f>('[1]POOL-joueus'!$E$791)-3</f>
        <v>58</v>
      </c>
      <c r="G16" s="109">
        <f>('[1]POOL-joueus'!$F$791)-1</f>
        <v>16</v>
      </c>
      <c r="H16" s="109">
        <f>('[1]POOL-joueus'!$G$791)-0</f>
        <v>28</v>
      </c>
      <c r="L16" s="126">
        <f t="shared" si="0"/>
        <v>44</v>
      </c>
      <c r="M16" s="31" t="s">
        <v>433</v>
      </c>
      <c r="N16" s="122"/>
      <c r="O16" s="109"/>
      <c r="P16" s="109"/>
      <c r="Q16" s="111"/>
      <c r="R16" s="109"/>
      <c r="S16" s="109"/>
      <c r="T16" s="109"/>
      <c r="X16" s="126">
        <f t="shared" si="1"/>
        <v>0</v>
      </c>
    </row>
    <row r="17" spans="1:24" ht="12.75">
      <c r="A17" s="48" t="s">
        <v>39</v>
      </c>
      <c r="B17" s="122" t="s">
        <v>24</v>
      </c>
      <c r="C17" s="109">
        <f>'[1]POOL-joueus'!$B$792</f>
        <v>22.627397260273973</v>
      </c>
      <c r="D17" s="109" t="str">
        <f>'[1]POOL-joueus'!$C$792</f>
        <v>Nyr</v>
      </c>
      <c r="E17" s="111" t="str">
        <f>'[1]POOL-joueus'!$D$792</f>
        <v>Lauri Korpikoski</v>
      </c>
      <c r="F17" s="109">
        <f>('[1]POOL-joueus'!$E$792)-5</f>
        <v>47</v>
      </c>
      <c r="G17" s="109">
        <f>('[1]POOL-joueus'!$F$792)-0</f>
        <v>6</v>
      </c>
      <c r="H17" s="109">
        <f>('[1]POOL-joueus'!$G$792)-0</f>
        <v>8</v>
      </c>
      <c r="L17" s="126">
        <f t="shared" si="0"/>
        <v>14</v>
      </c>
      <c r="M17" s="31" t="s">
        <v>433</v>
      </c>
      <c r="N17" s="122"/>
      <c r="O17" s="109"/>
      <c r="P17" s="109"/>
      <c r="Q17" s="111"/>
      <c r="R17" s="109"/>
      <c r="S17" s="109"/>
      <c r="T17" s="109"/>
      <c r="X17" s="126">
        <f t="shared" si="1"/>
        <v>0</v>
      </c>
    </row>
    <row r="18" spans="1:24" ht="12.75">
      <c r="A18" s="48" t="s">
        <v>45</v>
      </c>
      <c r="B18" s="122" t="s">
        <v>33</v>
      </c>
      <c r="C18" s="109">
        <f>'[1]POOL-joueus'!$B$448</f>
        <v>25.446575342465753</v>
      </c>
      <c r="D18" s="109" t="str">
        <f>'[1]POOL-joueus'!$C$448</f>
        <v>Cgy</v>
      </c>
      <c r="E18" s="110" t="str">
        <f>'[1]POOL-joueus'!$D$448</f>
        <v>Mark Giordano</v>
      </c>
      <c r="F18" s="112">
        <f>('[1]POOL-joueus'!$E$448)-2</f>
        <v>23</v>
      </c>
      <c r="G18" s="112">
        <f>('[1]POOL-joueus'!$F$448)-0</f>
        <v>1</v>
      </c>
      <c r="H18" s="112">
        <f>('[1]POOL-joueus'!$G$448)-1</f>
        <v>8</v>
      </c>
      <c r="L18" s="126">
        <f t="shared" si="0"/>
        <v>9</v>
      </c>
      <c r="M18" s="31" t="s">
        <v>433</v>
      </c>
      <c r="N18" s="122" t="s">
        <v>441</v>
      </c>
      <c r="O18" s="116">
        <f>'[1]Pool-gardien'!$B$126</f>
        <v>24.2</v>
      </c>
      <c r="P18" s="116" t="str">
        <f>'[1]Pool-gardien'!$C$126</f>
        <v>Chi</v>
      </c>
      <c r="Q18" s="117" t="str">
        <f>'[1]Pool-gardien'!$D$126</f>
        <v>Corey Crawfort</v>
      </c>
      <c r="R18" s="116">
        <f>'[1]Pool-gardien'!$E$126</f>
        <v>0</v>
      </c>
      <c r="S18" s="116">
        <f>'[1]Pool-gardien'!$F$126</f>
        <v>0</v>
      </c>
      <c r="T18" s="116">
        <f>'[1]Pool-gardien'!$G$31</f>
        <v>5</v>
      </c>
      <c r="U18" s="116">
        <f>'[1]Pool-gardien'!$H$126</f>
        <v>0</v>
      </c>
      <c r="V18" s="116">
        <f>'[1]Pool-gardien'!$I$31</f>
        <v>0</v>
      </c>
      <c r="W18" s="125">
        <f>'[1]Pool-gardien'!$J$126</f>
        <v>0</v>
      </c>
      <c r="X18" s="126">
        <f t="shared" si="1"/>
        <v>5</v>
      </c>
    </row>
    <row r="19" spans="1:24" ht="12.75">
      <c r="A19" s="159" t="s">
        <v>65</v>
      </c>
      <c r="B19" s="155" t="s">
        <v>12</v>
      </c>
      <c r="C19" s="156">
        <f>'[1]POOL-joueus'!$B$793</f>
        <v>27.7013698630137</v>
      </c>
      <c r="D19" s="156" t="str">
        <f>'[1]POOL-joueus'!$C$793</f>
        <v>Nyr</v>
      </c>
      <c r="E19" s="157" t="str">
        <f>'[1]POOL-joueus'!$D$793</f>
        <v>Aaron Voros</v>
      </c>
      <c r="F19" s="156">
        <f>('[1]POOL-joueus'!$E$793)-6</f>
        <v>47</v>
      </c>
      <c r="G19" s="156">
        <f>('[1]POOL-joueus'!$F$793)-3</f>
        <v>5</v>
      </c>
      <c r="H19" s="156">
        <f>('[1]POOL-joueus'!$G$793)-4</f>
        <v>3</v>
      </c>
      <c r="I19" s="160"/>
      <c r="J19" s="160"/>
      <c r="K19" s="160"/>
      <c r="L19" s="161">
        <f t="shared" si="0"/>
        <v>8</v>
      </c>
      <c r="M19" s="62" t="s">
        <v>445</v>
      </c>
      <c r="N19" s="155" t="s">
        <v>40</v>
      </c>
      <c r="O19" s="156">
        <f>'[1]POOL-joueus'!$B$216</f>
        <v>25.235616438356164</v>
      </c>
      <c r="P19" s="156" t="str">
        <f>'[1]POOL-joueus'!$C$216</f>
        <v>Tor</v>
      </c>
      <c r="Q19" s="157" t="str">
        <f>'[1]POOL-joueus'!$D$216</f>
        <v>Matt Stajan</v>
      </c>
      <c r="R19" s="158">
        <f>'[1]POOL-joueus'!$E$216-2</f>
        <v>58</v>
      </c>
      <c r="S19" s="158">
        <f>'[1]POOL-joueus'!$F$216</f>
        <v>14</v>
      </c>
      <c r="T19" s="158">
        <f>'[1]POOL-joueus'!$G$216</f>
        <v>32</v>
      </c>
      <c r="X19" s="126">
        <f t="shared" si="1"/>
        <v>46</v>
      </c>
    </row>
    <row r="20" spans="1:24" ht="12.75">
      <c r="A20" s="131" t="s">
        <v>23</v>
      </c>
      <c r="B20" s="122" t="s">
        <v>40</v>
      </c>
      <c r="C20" s="116">
        <f>'[1]POOL-joueus'!$B$212</f>
        <v>39.16438356164384</v>
      </c>
      <c r="D20" s="116" t="str">
        <f>'[1]POOL-joueus'!$C$212</f>
        <v>S.J.</v>
      </c>
      <c r="E20" s="117" t="str">
        <f>'[1]POOL-joueus'!$D$212</f>
        <v>Jeremy Roenick</v>
      </c>
      <c r="F20" s="116">
        <f>('[1]POOL-joueus'!$E$212)-4</f>
        <v>29</v>
      </c>
      <c r="G20" s="116">
        <f>('[1]POOL-joueus'!$F$212)-0</f>
        <v>3</v>
      </c>
      <c r="H20" s="116">
        <f>('[1]POOL-joueus'!$G$212)-0</f>
        <v>7</v>
      </c>
      <c r="L20" s="126">
        <f t="shared" si="0"/>
        <v>10</v>
      </c>
      <c r="M20" s="62" t="s">
        <v>446</v>
      </c>
      <c r="N20" s="132" t="s">
        <v>40</v>
      </c>
      <c r="O20" s="109">
        <f>'[1]POOL-joueus'!$B$25</f>
        <v>38.09041095890411</v>
      </c>
      <c r="P20" s="109" t="str">
        <f>'[1]POOL-joueus'!$C$25</f>
        <v>Van</v>
      </c>
      <c r="Q20" s="111" t="str">
        <f>'[1]POOL-joueus'!$D$25</f>
        <v>Mats Sundin</v>
      </c>
      <c r="R20" s="109">
        <f>'[1]POOL-joueus'!$E$25</f>
        <v>23</v>
      </c>
      <c r="S20" s="109">
        <f>'[1]POOL-joueus'!$F$25</f>
        <v>7</v>
      </c>
      <c r="T20" s="109">
        <f>'[1]POOL-joueus'!$G$25</f>
        <v>9</v>
      </c>
      <c r="X20" s="126">
        <f t="shared" si="1"/>
        <v>16</v>
      </c>
    </row>
    <row r="21" spans="1:24" ht="12.75">
      <c r="A21" s="131" t="s">
        <v>8</v>
      </c>
      <c r="B21" s="122" t="s">
        <v>40</v>
      </c>
      <c r="C21" s="109">
        <f>'[1]POOL-joueus'!$B$25</f>
        <v>38.09041095890411</v>
      </c>
      <c r="D21" s="109" t="str">
        <f>'[1]POOL-joueus'!$C$25</f>
        <v>Van</v>
      </c>
      <c r="E21" s="111" t="str">
        <f>'[1]POOL-joueus'!$D$25</f>
        <v>Mats Sundin</v>
      </c>
      <c r="F21" s="109">
        <f>'[1]POOL-joueus'!$E$25</f>
        <v>23</v>
      </c>
      <c r="G21" s="109">
        <f>'[1]POOL-joueus'!$F$25</f>
        <v>7</v>
      </c>
      <c r="H21" s="109">
        <f>'[1]POOL-joueus'!$G$25</f>
        <v>9</v>
      </c>
      <c r="L21" s="126">
        <f t="shared" si="0"/>
        <v>16</v>
      </c>
      <c r="M21" s="142" t="s">
        <v>446</v>
      </c>
      <c r="N21" s="31"/>
      <c r="X21" s="126">
        <f t="shared" si="1"/>
        <v>0</v>
      </c>
    </row>
    <row r="22" spans="1:24" ht="12.75">
      <c r="A22" s="131" t="s">
        <v>27</v>
      </c>
      <c r="B22" s="122" t="s">
        <v>40</v>
      </c>
      <c r="C22" s="113">
        <f>'[1]POOL-joueus'!$B$794</f>
        <v>23.005479452054793</v>
      </c>
      <c r="D22" s="113" t="str">
        <f>'[1]POOL-joueus'!$C$794</f>
        <v>Phx</v>
      </c>
      <c r="E22" s="114" t="str">
        <f>'[1]POOL-joueus'!$D$794</f>
        <v>Kevin Porter</v>
      </c>
      <c r="F22" s="113">
        <f>('[1]POOL-joueus'!$E$794)-2</f>
        <v>32</v>
      </c>
      <c r="G22" s="113">
        <f>('[1]POOL-joueus'!$F$794)-0</f>
        <v>5</v>
      </c>
      <c r="H22" s="113">
        <f>('[1]POOL-joueus'!$G$794)-2</f>
        <v>3</v>
      </c>
      <c r="L22" s="126">
        <f t="shared" si="0"/>
        <v>8</v>
      </c>
      <c r="M22" s="142" t="s">
        <v>446</v>
      </c>
      <c r="N22" s="31"/>
      <c r="X22" s="126">
        <f t="shared" si="1"/>
        <v>0</v>
      </c>
    </row>
    <row r="23" spans="1:24" ht="12.75">
      <c r="A23" s="131" t="s">
        <v>62</v>
      </c>
      <c r="B23" s="122" t="s">
        <v>447</v>
      </c>
      <c r="C23" s="31"/>
      <c r="D23" s="31"/>
      <c r="E23" s="31" t="s">
        <v>448</v>
      </c>
      <c r="F23" s="133">
        <f>('[1]Equipes-Pool'!$C$29)-4</f>
        <v>61</v>
      </c>
      <c r="G23" s="133">
        <f>('[1]Equipes-Pool'!$D$29)-6</f>
        <v>60</v>
      </c>
      <c r="H23" s="133">
        <f>('[1]Equipes-Pool'!$E$29)-18</f>
        <v>162</v>
      </c>
      <c r="I23" s="133">
        <f>('[1]Equipes-Pool'!$F$29)-12</f>
        <v>182</v>
      </c>
      <c r="L23" s="126">
        <f>G23+(H23-I23)</f>
        <v>40</v>
      </c>
      <c r="M23" s="142" t="s">
        <v>446</v>
      </c>
      <c r="N23" s="31"/>
      <c r="Q23" s="134" t="str">
        <f>'[1]Equipes-Pool'!$B$25</f>
        <v>Lightning Tampa Bay</v>
      </c>
      <c r="R23" s="133">
        <v>4</v>
      </c>
      <c r="S23" s="133">
        <v>2</v>
      </c>
      <c r="T23" s="133">
        <v>8</v>
      </c>
      <c r="U23" s="133">
        <v>12</v>
      </c>
      <c r="V23" s="135"/>
      <c r="W23" s="135"/>
      <c r="X23" s="136">
        <f>S23+(T23-U23)</f>
        <v>-2</v>
      </c>
    </row>
    <row r="24" spans="1:24" ht="12.75">
      <c r="A24" s="131" t="s">
        <v>65</v>
      </c>
      <c r="B24" s="122" t="s">
        <v>40</v>
      </c>
      <c r="C24" s="109">
        <f>'[1]POOL-joueus'!$B$315</f>
        <v>32.013698630136986</v>
      </c>
      <c r="D24" s="109" t="str">
        <f>'[1]POOL-joueus'!$C$315</f>
        <v>L.A.</v>
      </c>
      <c r="E24" s="111" t="str">
        <f>'[1]POOL-joueus'!$D$315</f>
        <v>Michal Handzus</v>
      </c>
      <c r="F24" s="109">
        <f>('[1]POOL-joueus'!$E$315)-4</f>
        <v>61</v>
      </c>
      <c r="G24" s="109">
        <f>('[1]POOL-joueus'!$F$315)-2</f>
        <v>12</v>
      </c>
      <c r="H24" s="109">
        <f>('[1]POOL-joueus'!$G$315)-2</f>
        <v>17</v>
      </c>
      <c r="L24" s="126">
        <f t="shared" si="0"/>
        <v>29</v>
      </c>
      <c r="M24" s="142" t="s">
        <v>449</v>
      </c>
      <c r="N24" s="30" t="s">
        <v>40</v>
      </c>
      <c r="O24" s="144">
        <f>'[1]POOL-joueus'!$B$237</f>
        <v>24.802739726027397</v>
      </c>
      <c r="P24" s="109" t="str">
        <f>'[1]POOL-joueus'!$C$237</f>
        <v>Edm</v>
      </c>
      <c r="Q24" s="111" t="str">
        <f>'[1]POOL-joueus'!$D$237</f>
        <v>Kyle Brodziak</v>
      </c>
      <c r="R24" s="109">
        <f>'[1]POOL-joueus'!$E$237</f>
        <v>4</v>
      </c>
      <c r="S24" s="109">
        <f>'[1]POOL-joueus'!$F$237</f>
        <v>0</v>
      </c>
      <c r="T24" s="109">
        <f>'[1]POOL-joueus'!$G$237</f>
        <v>0</v>
      </c>
      <c r="X24" s="126">
        <f t="shared" si="1"/>
        <v>0</v>
      </c>
    </row>
    <row r="25" spans="1:24" ht="12.75">
      <c r="A25" s="131" t="s">
        <v>65</v>
      </c>
      <c r="B25" s="122" t="s">
        <v>12</v>
      </c>
      <c r="C25" s="109">
        <f>'[1]POOL-joueus'!$B$536</f>
        <v>20.545205479452054</v>
      </c>
      <c r="D25" s="109" t="str">
        <f>'[1]POOL-joueus'!$C$536</f>
        <v>L.A.</v>
      </c>
      <c r="E25" s="111" t="str">
        <f>'[1]POOL-joueus'!$D$536</f>
        <v>Wayne Simmonds</v>
      </c>
      <c r="F25" s="109">
        <f>('[1]POOL-joueus'!$E$536)-5</f>
        <v>11</v>
      </c>
      <c r="G25" s="109">
        <f>('[1]POOL-joueus'!$F$536)-1</f>
        <v>0</v>
      </c>
      <c r="H25" s="109">
        <f>('[1]POOL-joueus'!$G$536)-1</f>
        <v>0</v>
      </c>
      <c r="L25" s="126">
        <f t="shared" si="0"/>
        <v>0</v>
      </c>
      <c r="M25" s="143" t="s">
        <v>451</v>
      </c>
      <c r="N25" s="30" t="s">
        <v>12</v>
      </c>
      <c r="O25" s="145">
        <f>'[1]POOL-joueus'!$B$140</f>
        <v>25.035616438356165</v>
      </c>
      <c r="P25" s="116" t="str">
        <f>'[1]POOL-joueus'!$C$140</f>
        <v>Stl</v>
      </c>
      <c r="Q25" s="117" t="str">
        <f>'[1]POOL-joueus'!$D$140</f>
        <v>Alexander Steen</v>
      </c>
      <c r="R25" s="116">
        <v>4</v>
      </c>
      <c r="S25" s="116">
        <v>0</v>
      </c>
      <c r="T25" s="116">
        <v>1</v>
      </c>
      <c r="X25" s="126">
        <f t="shared" si="1"/>
        <v>1</v>
      </c>
    </row>
    <row r="26" spans="1:24" ht="12.75">
      <c r="A26" s="131" t="s">
        <v>45</v>
      </c>
      <c r="B26" s="122" t="s">
        <v>33</v>
      </c>
      <c r="C26" s="109">
        <f>'[1]POOL-joueus'!$B$373</f>
        <v>21.956164383561642</v>
      </c>
      <c r="D26" s="109" t="str">
        <f>'[1]POOL-joueus'!$C$373</f>
        <v>S.J.</v>
      </c>
      <c r="E26" s="110" t="str">
        <f>'[1]POOL-joueus'!$D$373</f>
        <v>Marc-Édouard Vlasic</v>
      </c>
      <c r="F26" s="138">
        <f>('[1]POOL-joueus'!$E$373)-7</f>
        <v>57</v>
      </c>
      <c r="G26" s="138">
        <f>('[1]POOL-joueus'!$F$373)-1</f>
        <v>4</v>
      </c>
      <c r="H26" s="138">
        <f>('[1]POOL-joueus'!$G$373)-4</f>
        <v>22</v>
      </c>
      <c r="L26" s="126">
        <f t="shared" si="0"/>
        <v>26</v>
      </c>
      <c r="M26" s="143" t="s">
        <v>451</v>
      </c>
      <c r="N26" s="30" t="s">
        <v>19</v>
      </c>
      <c r="O26" s="144">
        <f>'[1]POOL-joueus'!$B$776</f>
        <v>24.405479452054795</v>
      </c>
      <c r="P26" s="109" t="str">
        <f>'[1]POOL-joueus'!$C$776</f>
        <v>Wsh</v>
      </c>
      <c r="Q26" s="111" t="str">
        <f>'[1]POOL-joueus'!$D$776</f>
        <v>Sami Lepisto</v>
      </c>
      <c r="R26" s="109">
        <f>'[1]POOL-joueus'!$E$776</f>
        <v>7</v>
      </c>
      <c r="S26" s="109">
        <f>'[1]POOL-joueus'!$F$776</f>
        <v>0</v>
      </c>
      <c r="T26" s="109">
        <f>'[1]POOL-joueus'!$G$776</f>
        <v>4</v>
      </c>
      <c r="X26" s="126">
        <f t="shared" si="1"/>
        <v>4</v>
      </c>
    </row>
    <row r="27" spans="1:24" ht="12.75">
      <c r="A27" s="131" t="s">
        <v>45</v>
      </c>
      <c r="B27" s="122" t="s">
        <v>24</v>
      </c>
      <c r="C27" s="109">
        <f>'[1]POOL-joueus'!$B$574</f>
        <v>22.03835616438356</v>
      </c>
      <c r="D27" s="109" t="str">
        <f>'[1]POOL-joueus'!$C$574</f>
        <v>Phi</v>
      </c>
      <c r="E27" s="111" t="str">
        <f>'[1]POOL-joueus'!$D$574</f>
        <v>Andreas Nodl</v>
      </c>
      <c r="F27" s="109">
        <f>('[1]POOL-joueus'!$E$574)-1</f>
        <v>4</v>
      </c>
      <c r="G27" s="109">
        <f>('[1]POOL-joueus'!$F$574)-0</f>
        <v>0</v>
      </c>
      <c r="H27" s="109">
        <f>('[1]POOL-joueus'!$G$574)-1</f>
        <v>0</v>
      </c>
      <c r="L27" s="126">
        <f t="shared" si="0"/>
        <v>0</v>
      </c>
      <c r="M27" s="143" t="s">
        <v>451</v>
      </c>
      <c r="N27" s="137" t="s">
        <v>24</v>
      </c>
      <c r="O27" s="144">
        <f>'[1]POOL-joueus'!$B$435</f>
        <v>24.887671232876713</v>
      </c>
      <c r="P27" s="109" t="str">
        <f>'[1]POOL-joueus'!$C$435</f>
        <v>Atl</v>
      </c>
      <c r="Q27" s="111" t="str">
        <f>'[1]POOL-joueus'!$D$435</f>
        <v>Brett Sterling</v>
      </c>
      <c r="R27" s="109">
        <f>'[1]POOL-joueus'!$E$435</f>
        <v>0</v>
      </c>
      <c r="S27" s="109">
        <f>'[1]POOL-joueus'!$F$435</f>
        <v>0</v>
      </c>
      <c r="T27" s="109">
        <f>'[1]POOL-joueus'!$G$435</f>
        <v>0</v>
      </c>
      <c r="X27" s="126">
        <f t="shared" si="1"/>
        <v>0</v>
      </c>
    </row>
    <row r="28" spans="1:24" ht="12.75">
      <c r="A28" s="131" t="s">
        <v>16</v>
      </c>
      <c r="B28" s="122" t="s">
        <v>9</v>
      </c>
      <c r="C28" s="113">
        <f>'[1]POOL-joueus'!$B$795</f>
        <v>21.526027397260275</v>
      </c>
      <c r="D28" s="113" t="str">
        <f>'[1]POOL-joueus'!$C$795</f>
        <v>Dal</v>
      </c>
      <c r="E28" s="114" t="str">
        <f>'[1]POOL-joueus'!$D$795</f>
        <v>James Neal</v>
      </c>
      <c r="F28" s="113">
        <f>('[1]POOL-joueus'!$E$795)-6</f>
        <v>55</v>
      </c>
      <c r="G28" s="113">
        <f>('[1]POOL-joueus'!$F$795)-2</f>
        <v>19</v>
      </c>
      <c r="H28" s="113">
        <f>('[1]POOL-joueus'!$G$795)-2</f>
        <v>9</v>
      </c>
      <c r="L28" s="126">
        <f t="shared" si="0"/>
        <v>28</v>
      </c>
      <c r="M28" t="s">
        <v>450</v>
      </c>
      <c r="N28" s="84" t="s">
        <v>40</v>
      </c>
      <c r="O28" s="146">
        <f>'[1]POOL-joueus'!$B$168</f>
        <v>30.747945205479454</v>
      </c>
      <c r="P28" s="113" t="str">
        <f>'[1]POOL-joueus'!$C$168</f>
        <v>N.J.</v>
      </c>
      <c r="Q28" s="114" t="str">
        <f>'[1]POOL-joueus'!$D$168</f>
        <v>Dainius Zubrus</v>
      </c>
      <c r="R28" s="113">
        <v>6</v>
      </c>
      <c r="S28" s="113">
        <v>0</v>
      </c>
      <c r="T28" s="113">
        <v>1</v>
      </c>
      <c r="X28" s="126">
        <f t="shared" si="1"/>
        <v>1</v>
      </c>
    </row>
    <row r="29" spans="1:24" ht="12.75">
      <c r="A29" s="131" t="s">
        <v>62</v>
      </c>
      <c r="B29" s="122" t="s">
        <v>24</v>
      </c>
      <c r="C29" s="113">
        <f>'[1]POOL-joueus'!$B$434</f>
        <v>22.454794520547946</v>
      </c>
      <c r="D29" s="113" t="str">
        <f>'[1]POOL-joueus'!$C$434</f>
        <v>Min</v>
      </c>
      <c r="E29" s="114" t="str">
        <f>'[1]POOL-joueus'!$D$434</f>
        <v>Benoit Pouliot</v>
      </c>
      <c r="F29" s="113">
        <f>('[1]POOL-joueus'!$E$434)-6</f>
        <v>31</v>
      </c>
      <c r="G29" s="113">
        <f>('[1]POOL-joueus'!$F$434)-2</f>
        <v>3</v>
      </c>
      <c r="H29" s="113">
        <f>('[1]POOL-joueus'!$G$434)-1</f>
        <v>5</v>
      </c>
      <c r="L29" s="126">
        <f t="shared" si="0"/>
        <v>8</v>
      </c>
      <c r="M29" t="s">
        <v>452</v>
      </c>
      <c r="N29" s="31"/>
      <c r="X29" s="126">
        <f t="shared" si="1"/>
        <v>0</v>
      </c>
    </row>
    <row r="30" spans="1:24" ht="12.75">
      <c r="A30" s="131" t="s">
        <v>23</v>
      </c>
      <c r="B30" s="122" t="s">
        <v>33</v>
      </c>
      <c r="C30" s="109">
        <f>'[1]POOL-joueus'!$B$300</f>
        <v>26.69041095890411</v>
      </c>
      <c r="D30" s="109" t="str">
        <f>'[1]POOL-joueus'!$C$300</f>
        <v>S.J.</v>
      </c>
      <c r="E30" s="111" t="str">
        <f>'[1]POOL-joueus'!$D$300</f>
        <v>Christian Ehrhoff</v>
      </c>
      <c r="F30" s="109">
        <f>('[1]POOL-joueus'!$E$300)-9</f>
        <v>53</v>
      </c>
      <c r="G30" s="109">
        <f>('[1]POOL-joueus'!$F$300)-2</f>
        <v>5</v>
      </c>
      <c r="H30" s="109">
        <f>('[1]POOL-joueus'!$G$300)-6</f>
        <v>18</v>
      </c>
      <c r="L30" s="126">
        <f t="shared" si="0"/>
        <v>23</v>
      </c>
      <c r="M30" t="s">
        <v>453</v>
      </c>
      <c r="N30" s="84" t="s">
        <v>33</v>
      </c>
      <c r="O30" s="144">
        <f>'[1]POOL-joueus'!$B$262</f>
        <v>26.252054794520546</v>
      </c>
      <c r="P30" s="109" t="str">
        <f>'[1]POOL-joueus'!$C$262</f>
        <v>Nsh</v>
      </c>
      <c r="Q30" s="111" t="str">
        <f>'[1]POOL-joueus'!$D$262</f>
        <v>Dan Hamhuis</v>
      </c>
      <c r="R30" s="109">
        <v>8</v>
      </c>
      <c r="S30" s="109">
        <v>0</v>
      </c>
      <c r="T30" s="109">
        <v>2</v>
      </c>
      <c r="X30" s="126">
        <f t="shared" si="1"/>
        <v>2</v>
      </c>
    </row>
    <row r="31" spans="1:24" ht="12.75">
      <c r="A31" s="131" t="s">
        <v>27</v>
      </c>
      <c r="B31" s="122" t="s">
        <v>40</v>
      </c>
      <c r="C31" s="116">
        <f>'[1]POOL-joueus'!$B$318</f>
        <v>38.153424657534245</v>
      </c>
      <c r="D31" s="116" t="str">
        <f>'[1]POOL-joueus'!$C$318</f>
        <v>Nyi</v>
      </c>
      <c r="E31" s="117" t="str">
        <f>'[1]POOL-joueus'!$D$318</f>
        <v>Doug Weight</v>
      </c>
      <c r="F31" s="116">
        <f>('[1]POOL-joueus'!$E$318)-7</f>
        <v>37</v>
      </c>
      <c r="G31" s="116">
        <f>('[1]POOL-joueus'!$F$318)-2</f>
        <v>7</v>
      </c>
      <c r="H31" s="116">
        <f>('[1]POOL-joueus'!$G$318)-4</f>
        <v>22</v>
      </c>
      <c r="L31" s="126">
        <f t="shared" si="0"/>
        <v>29</v>
      </c>
      <c r="M31" t="s">
        <v>453</v>
      </c>
      <c r="N31" s="84" t="s">
        <v>33</v>
      </c>
      <c r="O31" s="144">
        <f>'[1]POOL-joueus'!$B$338</f>
        <v>26.742465753424657</v>
      </c>
      <c r="P31" s="109" t="str">
        <f>'[1]POOL-joueus'!$C$338</f>
        <v>Nsh</v>
      </c>
      <c r="Q31" s="111" t="str">
        <f>'[1]POOL-joueus'!$D$338</f>
        <v>Ville Koistinen</v>
      </c>
      <c r="R31" s="109">
        <v>4</v>
      </c>
      <c r="S31" s="109">
        <v>0</v>
      </c>
      <c r="T31" s="109">
        <v>0</v>
      </c>
      <c r="X31" s="139">
        <f t="shared" si="1"/>
        <v>0</v>
      </c>
    </row>
    <row r="32" spans="1:24" ht="12.75">
      <c r="A32" s="131" t="s">
        <v>27</v>
      </c>
      <c r="B32" s="132" t="s">
        <v>33</v>
      </c>
      <c r="C32" s="109">
        <f>'[1]POOL-joueus'!$B$375</f>
        <v>28.613698630136987</v>
      </c>
      <c r="D32" s="109" t="str">
        <f>'[1]POOL-joueus'!$C$375</f>
        <v>Cgy</v>
      </c>
      <c r="E32" s="111" t="str">
        <f>'[1]POOL-joueus'!$D$375</f>
        <v>Jordan Leopold</v>
      </c>
      <c r="F32" s="109">
        <f>('[1]POOL-joueus'!$E$375)-9</f>
        <v>58</v>
      </c>
      <c r="G32" s="109">
        <f>('[1]POOL-joueus'!$F$375)-2</f>
        <v>5</v>
      </c>
      <c r="H32" s="109">
        <f>('[1]POOL-joueus'!$G$375)-3</f>
        <v>11</v>
      </c>
      <c r="L32" s="126">
        <f t="shared" si="0"/>
        <v>16</v>
      </c>
      <c r="M32" t="s">
        <v>454</v>
      </c>
      <c r="N32" s="84" t="s">
        <v>93</v>
      </c>
      <c r="O32" s="144">
        <v>24.610958904109587</v>
      </c>
      <c r="P32" s="109" t="s">
        <v>89</v>
      </c>
      <c r="Q32" s="111" t="s">
        <v>455</v>
      </c>
      <c r="R32" s="109">
        <v>0</v>
      </c>
      <c r="S32" s="109">
        <v>0</v>
      </c>
      <c r="T32" s="109">
        <v>0</v>
      </c>
      <c r="U32" s="30">
        <v>0</v>
      </c>
      <c r="V32" s="30">
        <v>0</v>
      </c>
      <c r="W32" s="30">
        <v>0</v>
      </c>
      <c r="X32" s="30">
        <f>(S32*2)+T32+(U32*4)+(V32*10)+W32</f>
        <v>0</v>
      </c>
    </row>
    <row r="33" spans="1:24" ht="12.75">
      <c r="A33" s="131" t="s">
        <v>32</v>
      </c>
      <c r="B33" s="116" t="s">
        <v>12</v>
      </c>
      <c r="C33" s="113">
        <f>'[1]POOL-joueus'!$B$797</f>
        <v>22.997260273972604</v>
      </c>
      <c r="D33" s="113" t="str">
        <f>'[1]POOL-joueus'!$C$797</f>
        <v>Van</v>
      </c>
      <c r="E33" s="114" t="str">
        <f>'[1]POOL-joueus'!$D$797</f>
        <v>Jannik Hansen</v>
      </c>
      <c r="F33" s="113">
        <f>('[1]POOL-joueus'!$E$797)-9</f>
        <v>43</v>
      </c>
      <c r="G33" s="113">
        <f>('[1]POOL-joueus'!$F$797)-3</f>
        <v>3</v>
      </c>
      <c r="H33" s="113">
        <f>('[1]POOL-joueus'!$G$797)-1</f>
        <v>14</v>
      </c>
      <c r="L33" s="126">
        <f t="shared" si="0"/>
        <v>17</v>
      </c>
      <c r="M33" t="s">
        <v>456</v>
      </c>
      <c r="N33" s="84" t="s">
        <v>24</v>
      </c>
      <c r="O33" s="34">
        <v>24.03835616438356</v>
      </c>
      <c r="P33" s="30" t="s">
        <v>29</v>
      </c>
      <c r="Q33" s="140" t="s">
        <v>339</v>
      </c>
      <c r="R33" s="30">
        <v>0</v>
      </c>
      <c r="S33" s="30">
        <v>0</v>
      </c>
      <c r="T33" s="30">
        <v>0</v>
      </c>
      <c r="X33" s="126">
        <f t="shared" si="1"/>
        <v>0</v>
      </c>
    </row>
    <row r="34" spans="1:24" ht="12.75">
      <c r="A34" s="131" t="s">
        <v>45</v>
      </c>
      <c r="B34" s="141" t="s">
        <v>19</v>
      </c>
      <c r="C34" s="109">
        <f>'[1]POOL-joueus'!$B$798</f>
        <v>19.115068493150684</v>
      </c>
      <c r="D34" s="109" t="str">
        <f>'[1]POOL-joueus'!$C$798</f>
        <v>Phi</v>
      </c>
      <c r="E34" s="111" t="str">
        <f>'[1]POOL-joueus'!$D$798</f>
        <v>Luca Sbisa</v>
      </c>
      <c r="F34" s="109">
        <f>('[1]POOL-joueus'!$E$798)-10</f>
        <v>29</v>
      </c>
      <c r="G34" s="109">
        <f>('[1]POOL-joueus'!$F$798)-0</f>
        <v>0</v>
      </c>
      <c r="H34" s="109">
        <f>('[1]POOL-joueus'!$G$798)-5</f>
        <v>2</v>
      </c>
      <c r="L34" s="126">
        <f t="shared" si="0"/>
        <v>2</v>
      </c>
      <c r="M34" t="s">
        <v>457</v>
      </c>
      <c r="N34" s="84" t="s">
        <v>40</v>
      </c>
      <c r="O34" s="144">
        <f>'[1]POOL-joueus'!$B$387</f>
        <v>23.257534246575343</v>
      </c>
      <c r="P34" s="109" t="str">
        <f>'[1]POOL-joueus'!$C$387</f>
        <v>Col</v>
      </c>
      <c r="Q34" s="111" t="str">
        <f>'[1]POOL-joueus'!$D$387</f>
        <v>T.J. Hensick</v>
      </c>
      <c r="R34" s="109">
        <f>'[1]POOL-joueus'!$E$387</f>
        <v>22</v>
      </c>
      <c r="S34" s="109">
        <f>'[1]POOL-joueus'!$F$387</f>
        <v>1</v>
      </c>
      <c r="T34" s="109">
        <f>'[1]POOL-joueus'!$G$387</f>
        <v>7</v>
      </c>
      <c r="X34" s="126">
        <f t="shared" si="1"/>
        <v>8</v>
      </c>
    </row>
    <row r="35" spans="1:24" ht="12.75">
      <c r="A35" s="159" t="s">
        <v>23</v>
      </c>
      <c r="B35" s="166" t="s">
        <v>12</v>
      </c>
      <c r="C35" s="156">
        <f>'[1]POOL-joueus'!$B$238</f>
        <v>29.87123287671233</v>
      </c>
      <c r="D35" s="156" t="str">
        <f>'[1]POOL-joueus'!$C$238</f>
        <v>Cbj</v>
      </c>
      <c r="E35" s="157" t="str">
        <f>'[1]POOL-joueus'!$D$238</f>
        <v>Jason Chimera</v>
      </c>
      <c r="F35" s="156">
        <v>14</v>
      </c>
      <c r="G35" s="156">
        <v>2</v>
      </c>
      <c r="H35" s="156">
        <v>5</v>
      </c>
      <c r="I35" s="160"/>
      <c r="J35" s="160"/>
      <c r="K35" s="160"/>
      <c r="L35" s="161">
        <f t="shared" si="0"/>
        <v>7</v>
      </c>
      <c r="M35" t="s">
        <v>458</v>
      </c>
      <c r="N35" s="84" t="s">
        <v>12</v>
      </c>
      <c r="O35" s="144">
        <f>($B$2-W35)/365</f>
        <v>0</v>
      </c>
      <c r="P35" s="109" t="s">
        <v>36</v>
      </c>
      <c r="Q35" s="111" t="s">
        <v>252</v>
      </c>
      <c r="R35" s="109">
        <v>8</v>
      </c>
      <c r="S35" s="109">
        <v>0</v>
      </c>
      <c r="T35" s="109">
        <v>0</v>
      </c>
      <c r="X35" s="126">
        <f t="shared" si="1"/>
        <v>0</v>
      </c>
    </row>
    <row r="36" spans="1:24" ht="12.75">
      <c r="A36" s="131" t="s">
        <v>23</v>
      </c>
      <c r="B36" s="132" t="s">
        <v>33</v>
      </c>
      <c r="C36" s="109">
        <f>'[1]POOL-joueus'!$B$399</f>
        <v>26.372602739726027</v>
      </c>
      <c r="D36" s="109" t="str">
        <f>'[1]POOL-joueus'!$C$399</f>
        <v>N.J.</v>
      </c>
      <c r="E36" s="111" t="str">
        <f>'[1]POOL-joueus'!$D$399</f>
        <v>Andy Greene</v>
      </c>
      <c r="F36" s="109">
        <f>('[1]POOL-joueus'!$E$399)-6</f>
        <v>35</v>
      </c>
      <c r="G36" s="109">
        <f>('[1]POOL-joueus'!$F$399)-1</f>
        <v>0</v>
      </c>
      <c r="H36" s="109">
        <f>('[1]POOL-joueus'!$G$399)-5</f>
        <v>2</v>
      </c>
      <c r="L36" s="126">
        <f t="shared" si="0"/>
        <v>2</v>
      </c>
      <c r="M36" t="s">
        <v>458</v>
      </c>
      <c r="N36" s="109" t="s">
        <v>33</v>
      </c>
      <c r="O36" s="144">
        <v>30.213698630136985</v>
      </c>
      <c r="P36" s="109" t="s">
        <v>50</v>
      </c>
      <c r="Q36" s="111" t="s">
        <v>298</v>
      </c>
      <c r="R36" s="109">
        <v>9</v>
      </c>
      <c r="S36" s="109">
        <v>0</v>
      </c>
      <c r="T36" s="109">
        <v>0</v>
      </c>
      <c r="X36" s="126">
        <f t="shared" si="1"/>
        <v>0</v>
      </c>
    </row>
    <row r="37" spans="1:24" ht="12.75">
      <c r="A37" s="131" t="s">
        <v>23</v>
      </c>
      <c r="B37" s="132" t="s">
        <v>459</v>
      </c>
      <c r="C37" s="113">
        <f>'[1]Pool-gardien'!$B$48</f>
        <v>28.183561643835617</v>
      </c>
      <c r="D37" s="147" t="str">
        <f>'[1]Pool-gardien'!$C$48</f>
        <v>Ott</v>
      </c>
      <c r="E37" s="148" t="str">
        <f>'[1]Pool-gardien'!$D$48</f>
        <v>Alexander Auld</v>
      </c>
      <c r="F37" s="147">
        <f>('[1]Pool-gardien'!$E$48)-6</f>
        <v>28</v>
      </c>
      <c r="G37" s="147">
        <f>('[1]Pool-gardien'!$F$48)-3</f>
        <v>9</v>
      </c>
      <c r="H37" s="147">
        <f>('[1]Pool-gardien'!$G$48)-1</f>
        <v>5</v>
      </c>
      <c r="I37" s="133">
        <f>('[1]Pool-gardien'!$H$48)-0</f>
        <v>1</v>
      </c>
      <c r="J37" s="133">
        <f>('[1]Pool-gardien'!$I$48)-0</f>
        <v>0</v>
      </c>
      <c r="K37" s="133">
        <f>('[1]Pool-gardien'!$J$48)-0</f>
        <v>0</v>
      </c>
      <c r="L37" s="30">
        <f>(G37*2)+H37+(I37*4)+(J37*10)+K37</f>
        <v>27</v>
      </c>
      <c r="M37" t="s">
        <v>458</v>
      </c>
      <c r="N37" s="84" t="s">
        <v>40</v>
      </c>
      <c r="O37" s="144">
        <v>33.02739726027397</v>
      </c>
      <c r="P37" s="109" t="s">
        <v>125</v>
      </c>
      <c r="Q37" s="111" t="s">
        <v>318</v>
      </c>
      <c r="R37" s="109">
        <v>11</v>
      </c>
      <c r="S37" s="109">
        <v>0</v>
      </c>
      <c r="T37" s="109">
        <v>2</v>
      </c>
      <c r="X37" s="126">
        <f t="shared" si="1"/>
        <v>2</v>
      </c>
    </row>
    <row r="38" spans="1:24" ht="12.75">
      <c r="A38" s="131" t="s">
        <v>65</v>
      </c>
      <c r="B38" s="137" t="s">
        <v>9</v>
      </c>
      <c r="C38" s="109">
        <f>'[1]POOL-joueus'!$B$799</f>
        <v>24.13972602739726</v>
      </c>
      <c r="D38" s="109" t="str">
        <f>'[1]POOL-joueus'!$C$799</f>
        <v>Tor</v>
      </c>
      <c r="E38" s="111" t="str">
        <f>'[1]POOL-joueus'!$D$799</f>
        <v>John Mitchell</v>
      </c>
      <c r="F38" s="109">
        <f>('[1]POOL-joueus'!$E$799)-11</f>
        <v>13</v>
      </c>
      <c r="G38" s="109">
        <f>('[1]POOL-joueus'!$F$799)-2</f>
        <v>0</v>
      </c>
      <c r="H38" s="109">
        <f>('[1]POOL-joueus'!$G$799)-3</f>
        <v>2</v>
      </c>
      <c r="L38" s="126">
        <f t="shared" si="0"/>
        <v>2</v>
      </c>
      <c r="M38" t="s">
        <v>460</v>
      </c>
      <c r="N38" s="84" t="s">
        <v>12</v>
      </c>
      <c r="O38" s="149">
        <v>22.912328767123288</v>
      </c>
      <c r="P38" s="149" t="s">
        <v>78</v>
      </c>
      <c r="Q38" s="150" t="s">
        <v>347</v>
      </c>
      <c r="R38" s="149">
        <v>12</v>
      </c>
      <c r="S38" s="149">
        <v>3</v>
      </c>
      <c r="T38" s="149">
        <v>2</v>
      </c>
      <c r="X38" s="126">
        <f t="shared" si="1"/>
        <v>5</v>
      </c>
    </row>
    <row r="39" spans="1:24" ht="12.75">
      <c r="A39" s="131" t="s">
        <v>32</v>
      </c>
      <c r="B39" s="151" t="s">
        <v>28</v>
      </c>
      <c r="C39" s="116">
        <f>'[1]Pool-gardien'!$B$39</f>
        <v>29.156164383561645</v>
      </c>
      <c r="D39" s="116" t="str">
        <f>'[1]Pool-gardien'!$C$39</f>
        <v>Van</v>
      </c>
      <c r="E39" s="117" t="str">
        <f>'[1]Pool-gardien'!$D$39</f>
        <v>Jason Labarbera</v>
      </c>
      <c r="F39" s="116">
        <f>('[1]Pool-gardien'!$E$39)-10</f>
        <v>16</v>
      </c>
      <c r="G39" s="116">
        <f>('[1]Pool-gardien'!$F$39)-3</f>
        <v>4</v>
      </c>
      <c r="H39" s="116">
        <f>('[1]Pool-gardien'!$G$39)-1</f>
        <v>5</v>
      </c>
      <c r="I39" s="116">
        <f>('[1]Pool-gardien'!$H$39)-1</f>
        <v>1</v>
      </c>
      <c r="J39" s="116">
        <f>('[1]Pool-gardien'!$I$39)-0</f>
        <v>0</v>
      </c>
      <c r="K39" s="116">
        <f>('[1]Pool-gardien'!$J$39)-0</f>
        <v>0</v>
      </c>
      <c r="L39" s="30">
        <f>(G39*2)+H39+(I39*4)+(J39*10)+K39</f>
        <v>17</v>
      </c>
      <c r="M39" t="s">
        <v>460</v>
      </c>
      <c r="N39" s="84" t="s">
        <v>441</v>
      </c>
      <c r="O39" s="116">
        <f>'[1]Pool-gardien'!$B$71</f>
        <v>20.92054794520548</v>
      </c>
      <c r="P39" s="116" t="str">
        <f>'[1]Pool-gardien'!$C$71</f>
        <v>Cgy</v>
      </c>
      <c r="Q39" s="117" t="str">
        <f>'[1]Pool-gardien'!$D$71</f>
        <v>Leland Irving</v>
      </c>
      <c r="R39" s="116">
        <f>'[1]Pool-gardien'!$E$71</f>
        <v>0</v>
      </c>
      <c r="S39" s="116">
        <f>'[1]Pool-gardien'!$F$71</f>
        <v>0</v>
      </c>
      <c r="T39" s="116">
        <f>'[1]Pool-gardien'!$G$71</f>
        <v>0</v>
      </c>
      <c r="U39" s="116">
        <f>'[1]Pool-gardien'!$H$71</f>
        <v>0</v>
      </c>
      <c r="V39" s="116">
        <f>'[1]Pool-gardien'!$I$71</f>
        <v>0</v>
      </c>
      <c r="W39" s="116">
        <f>'[1]Pool-gardien'!$J$71</f>
        <v>0</v>
      </c>
      <c r="X39" s="30">
        <f>(S39*2)+T39+(U39*4)+(V39*10)+W39</f>
        <v>0</v>
      </c>
    </row>
    <row r="40" spans="1:24" ht="12.75">
      <c r="A40" s="131" t="s">
        <v>32</v>
      </c>
      <c r="B40" s="137" t="s">
        <v>24</v>
      </c>
      <c r="C40" s="113">
        <f>'[1]POOL-joueus'!$B$800</f>
        <v>24.745205479452054</v>
      </c>
      <c r="D40" s="147" t="str">
        <f>'[1]POOL-joueus'!$C$800</f>
        <v>Nsh</v>
      </c>
      <c r="E40" s="148" t="str">
        <f>'[1]POOL-joueus'!$D$800</f>
        <v>Ryan Jones</v>
      </c>
      <c r="F40" s="133">
        <f>('[1]POOL-joueus'!$E$800)-10</f>
        <v>28</v>
      </c>
      <c r="G40" s="133">
        <f>('[1]POOL-joueus'!$F$800)-2</f>
        <v>4</v>
      </c>
      <c r="H40" s="133">
        <f>('[1]POOL-joueus'!$G$800)-3</f>
        <v>6</v>
      </c>
      <c r="L40" s="126">
        <f t="shared" si="0"/>
        <v>10</v>
      </c>
      <c r="M40" t="s">
        <v>460</v>
      </c>
      <c r="N40" s="113" t="s">
        <v>9</v>
      </c>
      <c r="O40" s="113">
        <f>'[1]POOL-joueus'!$B$789</f>
        <v>25.443835616438356</v>
      </c>
      <c r="P40" s="113" t="str">
        <f>'[1]POOL-joueus'!$C$789</f>
        <v>Ott</v>
      </c>
      <c r="Q40" s="114" t="str">
        <f>'[1]POOL-joueus'!$D$789</f>
        <v>Jesse Winchester</v>
      </c>
      <c r="R40" s="118">
        <v>10</v>
      </c>
      <c r="S40" s="118">
        <v>0</v>
      </c>
      <c r="T40" s="118">
        <v>1</v>
      </c>
      <c r="X40" s="126">
        <f t="shared" si="1"/>
        <v>1</v>
      </c>
    </row>
    <row r="41" spans="1:24" ht="12.75">
      <c r="A41" s="131" t="s">
        <v>45</v>
      </c>
      <c r="B41" s="132" t="s">
        <v>33</v>
      </c>
      <c r="C41" s="116">
        <f>'[1]POOL-joueus'!$B$796</f>
        <v>23.586301369863012</v>
      </c>
      <c r="D41" s="133" t="str">
        <f>'[1]POOL-joueus'!$C$796</f>
        <v>L.A.</v>
      </c>
      <c r="E41" s="153" t="str">
        <f>'[1]POOL-joueus'!$D$796</f>
        <v>Kyle Quincey</v>
      </c>
      <c r="F41" s="133">
        <f>('[1]POOL-joueus'!$E$796)-8</f>
        <v>54</v>
      </c>
      <c r="G41" s="133">
        <f>('[1]POOL-joueus'!$F$796)-1</f>
        <v>3</v>
      </c>
      <c r="H41" s="133">
        <f>('[1]POOL-joueus'!$G$796)-4</f>
        <v>29</v>
      </c>
      <c r="L41" s="126">
        <f t="shared" si="0"/>
        <v>32</v>
      </c>
      <c r="M41" t="s">
        <v>461</v>
      </c>
      <c r="N41" s="141" t="s">
        <v>24</v>
      </c>
      <c r="O41" s="109">
        <f>'[1]POOL-joueus'!$B$574</f>
        <v>22.03835616438356</v>
      </c>
      <c r="P41" s="109" t="str">
        <f>'[1]POOL-joueus'!$C$574</f>
        <v>Phi</v>
      </c>
      <c r="Q41" s="111" t="str">
        <f>'[1]POOL-joueus'!$D$574</f>
        <v>Andreas Nodl</v>
      </c>
      <c r="R41" s="109">
        <f>(('[1]POOL-joueus'!$E$574)-1)-4</f>
        <v>0</v>
      </c>
      <c r="S41" s="109">
        <f>(('[1]POOL-joueus'!$F$574)-0)-0</f>
        <v>0</v>
      </c>
      <c r="T41" s="109">
        <f>(('[1]POOL-joueus'!$G$574)-1)-0</f>
        <v>0</v>
      </c>
      <c r="U41" s="31"/>
      <c r="X41" s="126">
        <f t="shared" si="1"/>
        <v>0</v>
      </c>
    </row>
    <row r="42" spans="1:24" ht="12.75">
      <c r="A42" s="131" t="s">
        <v>39</v>
      </c>
      <c r="B42" s="30" t="s">
        <v>28</v>
      </c>
      <c r="C42" s="116">
        <f>'[1]Pool-gardien'!$B$41</f>
        <v>39.43013698630137</v>
      </c>
      <c r="D42" s="116" t="str">
        <f>'[1]Pool-gardien'!$C$41</f>
        <v>Edm</v>
      </c>
      <c r="E42" s="117" t="str">
        <f>'[1]Pool-gardien'!$D$41</f>
        <v>Dwayne Roloson</v>
      </c>
      <c r="F42" s="113">
        <f>('[1]Pool-gardien'!$E$41)-5</f>
        <v>43</v>
      </c>
      <c r="G42" s="113">
        <f>('[1]Pool-gardien'!$F$41)-2</f>
        <v>21</v>
      </c>
      <c r="H42" s="113">
        <f>('[1]Pool-gardien'!$G$41)-1</f>
        <v>5</v>
      </c>
      <c r="I42" s="116">
        <f>('[1]Pool-gardien'!$H$41)-0</f>
        <v>1</v>
      </c>
      <c r="J42" s="116">
        <f>('[1]Pool-gardien'!$I$41)-0</f>
        <v>0</v>
      </c>
      <c r="K42" s="116">
        <f>('[1]Pool-gardien'!$J$41)-0</f>
        <v>0</v>
      </c>
      <c r="L42" s="30">
        <f>(G42*2)+H42+(I42*4)+(J42*10)+K42</f>
        <v>51</v>
      </c>
      <c r="M42" t="s">
        <v>462</v>
      </c>
      <c r="N42" s="84" t="s">
        <v>12</v>
      </c>
      <c r="O42" s="116">
        <f>'[1]POOL-joueus'!$B$241</f>
        <v>25.435616438356163</v>
      </c>
      <c r="P42" s="116" t="str">
        <f>'[1]POOL-joueus'!$C$241</f>
        <v>Phi</v>
      </c>
      <c r="Q42" s="117" t="str">
        <f>'[1]POOL-joueus'!$D$241</f>
        <v>Scottie Upshall</v>
      </c>
      <c r="R42" s="116">
        <v>12</v>
      </c>
      <c r="S42" s="116">
        <v>1</v>
      </c>
      <c r="T42" s="116">
        <v>3</v>
      </c>
      <c r="X42" s="126">
        <f t="shared" si="1"/>
        <v>4</v>
      </c>
    </row>
    <row r="43" spans="1:24" ht="12.75">
      <c r="A43" s="131" t="s">
        <v>39</v>
      </c>
      <c r="B43" s="30" t="s">
        <v>28</v>
      </c>
      <c r="C43" s="116">
        <f>'[1]Pool-gardien'!$B$78</f>
        <v>33.95068493150685</v>
      </c>
      <c r="D43" s="116" t="str">
        <f>'[1]Pool-gardien'!$C$78</f>
        <v>N.J.</v>
      </c>
      <c r="E43" s="117" t="str">
        <f>'[1]Pool-gardien'!$D$78</f>
        <v>Kevin Weekes</v>
      </c>
      <c r="F43" s="116">
        <f>('[1]Pool-gardien'!$E$78)-3</f>
        <v>3</v>
      </c>
      <c r="G43" s="116">
        <f>('[1]Pool-gardien'!$F$78)-1</f>
        <v>1</v>
      </c>
      <c r="H43" s="116">
        <f>('[1]Pool-gardien'!$G$78)-0</f>
        <v>0</v>
      </c>
      <c r="I43" s="116">
        <f>('[1]Pool-gardien'!$H$78)-0</f>
        <v>0</v>
      </c>
      <c r="J43" s="116">
        <f>('[1]Pool-gardien'!$I$78)-0</f>
        <v>0</v>
      </c>
      <c r="K43" s="116">
        <f>('[1]Pool-gardien'!$J$78)-0</f>
        <v>0</v>
      </c>
      <c r="L43" s="30">
        <f>(G43*2)+H43+(I43*4)+(J43*10)+K43</f>
        <v>2</v>
      </c>
      <c r="M43" t="s">
        <v>462</v>
      </c>
      <c r="N43" s="152" t="s">
        <v>40</v>
      </c>
      <c r="O43" s="109">
        <f>'[1]POOL-joueus'!$B$173</f>
        <v>30.586301369863012</v>
      </c>
      <c r="P43" s="109" t="str">
        <f>'[1]POOL-joueus'!$C$173</f>
        <v>Fla</v>
      </c>
      <c r="Q43" s="111" t="str">
        <f>'[1]POOL-joueus'!$D$173</f>
        <v>Brett McLean</v>
      </c>
      <c r="R43" s="115">
        <v>12</v>
      </c>
      <c r="S43" s="115">
        <v>0</v>
      </c>
      <c r="T43" s="115">
        <v>3</v>
      </c>
      <c r="X43" s="126">
        <f t="shared" si="1"/>
        <v>3</v>
      </c>
    </row>
    <row r="44" spans="1:24" ht="12.75">
      <c r="A44" s="131" t="s">
        <v>45</v>
      </c>
      <c r="B44" s="141" t="s">
        <v>9</v>
      </c>
      <c r="C44" s="109">
        <f>'[1]POOL-joueus'!$B$403</f>
        <v>25.117808219178084</v>
      </c>
      <c r="D44" s="109" t="str">
        <f>'[1]POOL-joueus'!$C$403</f>
        <v>Tor</v>
      </c>
      <c r="E44" s="111" t="str">
        <f>'[1]POOL-joueus'!$D$403</f>
        <v>Mikhail Grabovsky</v>
      </c>
      <c r="F44" s="109">
        <f>('[1]POOL-joueus'!$E$403)-15</f>
        <v>47</v>
      </c>
      <c r="G44" s="109">
        <f>('[1]POOL-joueus'!$F$403)-7</f>
        <v>6</v>
      </c>
      <c r="H44" s="109">
        <f>('[1]POOL-joueus'!$G$403)-3</f>
        <v>15</v>
      </c>
      <c r="L44" s="126">
        <f aca="true" t="shared" si="2" ref="L44:L51">SUM(G44:H44)</f>
        <v>21</v>
      </c>
      <c r="M44" t="s">
        <v>463</v>
      </c>
      <c r="N44" s="113" t="s">
        <v>19</v>
      </c>
      <c r="O44" s="113">
        <f>'[1]POOL-joueus'!$B$408</f>
        <v>25.02191780821918</v>
      </c>
      <c r="P44" s="113" t="str">
        <f>'[1]POOL-joueus'!$C$408</f>
        <v>Stl</v>
      </c>
      <c r="Q44" s="114" t="str">
        <f>'[1]POOL-joueus'!$D$408</f>
        <v>Steve Wagner</v>
      </c>
      <c r="R44" s="113">
        <v>12</v>
      </c>
      <c r="S44" s="113">
        <v>1</v>
      </c>
      <c r="T44" s="113">
        <v>1</v>
      </c>
      <c r="X44" s="126">
        <f t="shared" si="1"/>
        <v>2</v>
      </c>
    </row>
    <row r="45" spans="1:24" ht="12.75">
      <c r="A45" s="131" t="s">
        <v>8</v>
      </c>
      <c r="B45" s="30" t="s">
        <v>12</v>
      </c>
      <c r="C45" s="109">
        <f>'[1]POOL-joueus'!$B$239</f>
        <v>27.926027397260274</v>
      </c>
      <c r="D45" s="109" t="str">
        <f>'[1]POOL-joueus'!$C$239</f>
        <v>Van</v>
      </c>
      <c r="E45" s="111" t="str">
        <f>'[1]POOL-joueus'!$D$239</f>
        <v>Alexandre Burrows</v>
      </c>
      <c r="F45" s="109">
        <f>('[1]POOL-joueus'!$E$239)-15</f>
        <v>49</v>
      </c>
      <c r="G45" s="109">
        <f>('[1]POOL-joueus'!$F$239)-4</f>
        <v>14</v>
      </c>
      <c r="H45" s="109">
        <f>('[1]POOL-joueus'!$G$239)-6</f>
        <v>11</v>
      </c>
      <c r="L45" s="126">
        <f t="shared" si="2"/>
        <v>25</v>
      </c>
      <c r="M45" t="s">
        <v>464</v>
      </c>
      <c r="N45" s="30" t="s">
        <v>40</v>
      </c>
      <c r="O45" s="34">
        <v>37.397260273972606</v>
      </c>
      <c r="P45" s="30" t="s">
        <v>25</v>
      </c>
      <c r="Q45" s="140" t="s">
        <v>271</v>
      </c>
      <c r="R45" s="30">
        <v>0</v>
      </c>
      <c r="S45" s="30">
        <v>0</v>
      </c>
      <c r="T45" s="30">
        <v>0</v>
      </c>
      <c r="X45" s="126">
        <f>SUM(S45:T45)</f>
        <v>0</v>
      </c>
    </row>
    <row r="46" spans="1:24" ht="12.75">
      <c r="A46" s="131" t="s">
        <v>65</v>
      </c>
      <c r="B46" s="84" t="s">
        <v>12</v>
      </c>
      <c r="C46" s="109">
        <f>'[1]POOL-joueus'!$B$244</f>
        <v>32.11506849315069</v>
      </c>
      <c r="D46" s="109" t="str">
        <f>'[1]POOL-joueus'!$C$244</f>
        <v>Dal</v>
      </c>
      <c r="E46" s="111" t="str">
        <f>'[1]POOL-joueus'!$D$244</f>
        <v>Mark Parrish</v>
      </c>
      <c r="F46" s="109">
        <f>('[1]POOL-joueus'!$E$244)-3</f>
        <v>37</v>
      </c>
      <c r="G46" s="109">
        <f>('[1]POOL-joueus'!$F$244)-3</f>
        <v>4</v>
      </c>
      <c r="H46" s="109">
        <f>('[1]POOL-joueus'!$G$244)-0</f>
        <v>5</v>
      </c>
      <c r="L46" s="126">
        <f t="shared" si="2"/>
        <v>9</v>
      </c>
      <c r="M46" t="s">
        <v>465</v>
      </c>
      <c r="N46" s="152" t="s">
        <v>459</v>
      </c>
      <c r="O46" s="168">
        <f>'[1]Pool-gardien'!$B$32</f>
        <v>38.94794520547945</v>
      </c>
      <c r="P46" s="115" t="str">
        <f>'[1]Pool-gardien'!$C$32</f>
        <v>T.B.</v>
      </c>
      <c r="Q46" s="154" t="str">
        <f>'[1]Pool-gardien'!$D$32</f>
        <v>Olaf Kolzig</v>
      </c>
      <c r="R46" s="115">
        <v>4</v>
      </c>
      <c r="S46" s="115">
        <v>1</v>
      </c>
      <c r="T46" s="115">
        <v>1</v>
      </c>
      <c r="U46" s="109">
        <v>0</v>
      </c>
      <c r="V46" s="109">
        <v>0</v>
      </c>
      <c r="W46" s="109">
        <v>0</v>
      </c>
      <c r="X46" s="30">
        <f aca="true" t="shared" si="3" ref="X46:X52">(S46*2)+T46+(U46*4)+(V46*10)+W46</f>
        <v>3</v>
      </c>
    </row>
    <row r="47" spans="1:24" ht="12.75">
      <c r="A47" s="131" t="s">
        <v>16</v>
      </c>
      <c r="B47" s="84" t="s">
        <v>28</v>
      </c>
      <c r="C47" s="113">
        <f>'[1]Pool-gardien'!$B$96</f>
        <v>32.010958904109586</v>
      </c>
      <c r="D47" s="113" t="str">
        <f>'[1]Pool-gardien'!$C$96</f>
        <v>Wsh</v>
      </c>
      <c r="E47" s="114" t="str">
        <f>'[1]Pool-gardien'!$D$96</f>
        <v>Brent Johnson</v>
      </c>
      <c r="F47" s="116">
        <f>('[1]Pool-gardien'!$E$96)-8</f>
        <v>13</v>
      </c>
      <c r="G47" s="116">
        <f>('[1]Pool-gardien'!$F$96)-5</f>
        <v>7</v>
      </c>
      <c r="H47" s="116">
        <f>('[1]Pool-gardien'!$G$96)-2</f>
        <v>0</v>
      </c>
      <c r="I47" s="116">
        <f>('[1]Pool-gardien'!$H$96)-0</f>
        <v>0</v>
      </c>
      <c r="J47" s="116">
        <f>('[1]Pool-gardien'!$I$96)-0</f>
        <v>0</v>
      </c>
      <c r="K47" s="116">
        <f>('[1]Pool-gardien'!$J$96)-0</f>
        <v>1</v>
      </c>
      <c r="L47" s="30">
        <f>(G47*2)+H47+(I47*4)+(J47*10)+K47</f>
        <v>15</v>
      </c>
      <c r="M47" t="s">
        <v>466</v>
      </c>
      <c r="N47" s="152" t="s">
        <v>12</v>
      </c>
      <c r="O47" s="146">
        <f>'[1]POOL-joueus'!$B$282</f>
        <v>24.317808219178083</v>
      </c>
      <c r="P47" s="113" t="str">
        <f>'[1]POOL-joueus'!$C$282</f>
        <v>Fla</v>
      </c>
      <c r="Q47" s="114" t="str">
        <f>'[1]POOL-joueus'!$D$282</f>
        <v>Kamil Kreps</v>
      </c>
      <c r="R47" s="113">
        <f>'[1]POOL-joueus'!$E$282</f>
        <v>11</v>
      </c>
      <c r="S47" s="113">
        <f>'[1]POOL-joueus'!$F$282</f>
        <v>0</v>
      </c>
      <c r="T47" s="113">
        <f>'[1]POOL-joueus'!$G$282</f>
        <v>2</v>
      </c>
      <c r="X47" s="126">
        <f>SUM(S47:T47)</f>
        <v>2</v>
      </c>
    </row>
    <row r="48" spans="1:24" ht="12.75">
      <c r="A48" s="131" t="s">
        <v>65</v>
      </c>
      <c r="B48" s="122" t="s">
        <v>40</v>
      </c>
      <c r="C48" s="116">
        <f>'[1]POOL-joueus'!$B$216</f>
        <v>25.235616438356164</v>
      </c>
      <c r="D48" s="116" t="str">
        <f>'[1]POOL-joueus'!$C$216</f>
        <v>Tor</v>
      </c>
      <c r="E48" s="117" t="str">
        <f>'[1]POOL-joueus'!$D$216</f>
        <v>Matt Stajan</v>
      </c>
      <c r="F48" s="113">
        <f>('[1]POOL-joueus'!$E$216-2)-16</f>
        <v>42</v>
      </c>
      <c r="G48" s="113">
        <f>('[1]POOL-joueus'!$F$216)-5</f>
        <v>9</v>
      </c>
      <c r="H48" s="113">
        <f>('[1]POOL-joueus'!$G$216)-12</f>
        <v>20</v>
      </c>
      <c r="I48" s="162"/>
      <c r="J48" s="162"/>
      <c r="K48" s="162"/>
      <c r="L48" s="126">
        <f t="shared" si="2"/>
        <v>29</v>
      </c>
      <c r="M48" t="s">
        <v>467</v>
      </c>
      <c r="N48" s="137" t="s">
        <v>24</v>
      </c>
      <c r="O48" s="144">
        <f>'[1]POOL-joueus'!$B$536</f>
        <v>20.545205479452054</v>
      </c>
      <c r="P48" s="109" t="str">
        <f>'[1]POOL-joueus'!$C$536</f>
        <v>L.A.</v>
      </c>
      <c r="Q48" s="111" t="str">
        <f>'[1]POOL-joueus'!$D$536</f>
        <v>Wayne Simmonds</v>
      </c>
      <c r="R48" s="109">
        <v>11</v>
      </c>
      <c r="S48" s="109">
        <v>0</v>
      </c>
      <c r="T48" s="109">
        <v>0</v>
      </c>
      <c r="X48" s="126">
        <f>SUM(S48:T48)</f>
        <v>0</v>
      </c>
    </row>
    <row r="49" spans="1:24" ht="12.75">
      <c r="A49" s="131" t="s">
        <v>27</v>
      </c>
      <c r="B49" s="84" t="s">
        <v>33</v>
      </c>
      <c r="C49" s="115">
        <f>'[1]POOL-joueus'!$B$572</f>
        <v>27.73972602739726</v>
      </c>
      <c r="D49" s="115" t="str">
        <f>'[1]POOL-joueus'!$C$572</f>
        <v>Car</v>
      </c>
      <c r="E49" s="154" t="str">
        <f>'[1]POOL-joueus'!$D$572</f>
        <v>Dennis Seidenberg</v>
      </c>
      <c r="F49" s="109">
        <f>('[1]POOL-joueus'!$E$572)-19</f>
        <v>36</v>
      </c>
      <c r="G49" s="109">
        <f>('[1]POOL-joueus'!$F$572)-2</f>
        <v>2</v>
      </c>
      <c r="H49" s="109">
        <f>('[1]POOL-joueus'!$G$572)-8</f>
        <v>11</v>
      </c>
      <c r="L49" s="126">
        <f t="shared" si="2"/>
        <v>13</v>
      </c>
      <c r="M49" t="s">
        <v>468</v>
      </c>
      <c r="N49" s="152" t="s">
        <v>33</v>
      </c>
      <c r="O49" s="145">
        <f>'[1]POOL-joueus'!$B$400</f>
        <v>21.865753424657534</v>
      </c>
      <c r="P49" s="116" t="str">
        <f>'[1]POOL-joueus'!$C$400</f>
        <v>Cbj</v>
      </c>
      <c r="Q49" s="117" t="str">
        <f>'[1]POOL-joueus'!$D$400</f>
        <v>Kris Russell</v>
      </c>
      <c r="R49" s="116">
        <v>5</v>
      </c>
      <c r="S49" s="116">
        <v>0</v>
      </c>
      <c r="T49" s="116">
        <v>1</v>
      </c>
      <c r="X49" s="126">
        <f>SUM(S49:T49)</f>
        <v>1</v>
      </c>
    </row>
    <row r="50" spans="1:24" ht="12.75">
      <c r="A50" s="131" t="s">
        <v>45</v>
      </c>
      <c r="B50" s="84" t="s">
        <v>33</v>
      </c>
      <c r="C50" s="109">
        <f>'[1]POOL-joueus'!$B$312</f>
        <v>24.775342465753425</v>
      </c>
      <c r="D50" s="109" t="str">
        <f>'[1]POOL-joueus'!$C$312</f>
        <v>Tor</v>
      </c>
      <c r="E50" s="110" t="str">
        <f>'[1]POOL-joueus'!$D$312</f>
        <v>Ian White</v>
      </c>
      <c r="F50" s="138">
        <f>('[1]POOL-joueus'!$E$312)-9</f>
        <v>46</v>
      </c>
      <c r="G50" s="138">
        <f>('[1]POOL-joueus'!$F$312)-3</f>
        <v>5</v>
      </c>
      <c r="H50" s="138">
        <f>('[1]POOL-joueus'!$G$312)-4</f>
        <v>10</v>
      </c>
      <c r="L50" s="126">
        <f t="shared" si="2"/>
        <v>15</v>
      </c>
      <c r="M50" t="s">
        <v>469</v>
      </c>
      <c r="N50" s="152" t="s">
        <v>40</v>
      </c>
      <c r="O50" s="145">
        <f>'[1]POOL-joueus'!$B$188</f>
        <v>26.723287671232878</v>
      </c>
      <c r="P50" s="116" t="str">
        <f>'[1]POOL-joueus'!$C$188</f>
        <v>L.A.</v>
      </c>
      <c r="Q50" s="117" t="str">
        <f>'[1]POOL-joueus'!$D$188</f>
        <v>Jarret Stoll</v>
      </c>
      <c r="R50" s="116">
        <f>('[1]POOL-joueus'!$E$188)-19</f>
        <v>46</v>
      </c>
      <c r="S50" s="116">
        <f>('[1]POOL-joueus'!$F$188)-6</f>
        <v>10</v>
      </c>
      <c r="T50" s="163">
        <f>('[1]POOL-joueus'!$G$188)-3</f>
        <v>19</v>
      </c>
      <c r="X50" s="126">
        <f>SUM(S50:T50)</f>
        <v>29</v>
      </c>
    </row>
    <row r="51" spans="1:24" ht="12.75">
      <c r="A51" s="131" t="s">
        <v>27</v>
      </c>
      <c r="B51" s="84" t="s">
        <v>12</v>
      </c>
      <c r="C51" s="109">
        <f>'[1]POOL-joueus'!$B$775</f>
        <v>24.301369863013697</v>
      </c>
      <c r="D51" s="109" t="str">
        <f>'[1]POOL-joueus'!$C$775</f>
        <v>Fla</v>
      </c>
      <c r="E51" s="111" t="str">
        <f>'[1]POOL-joueus'!$D$775</f>
        <v>David Booth</v>
      </c>
      <c r="F51" s="109">
        <f>('[1]POOL-joueus'!$E$775)-19</f>
        <v>37</v>
      </c>
      <c r="G51" s="109">
        <f>('[1]POOL-joueus'!$F$775)-9</f>
        <v>15</v>
      </c>
      <c r="H51" s="109">
        <f>('[1]POOL-joueus'!$G$775)-1</f>
        <v>17</v>
      </c>
      <c r="L51" s="126">
        <f t="shared" si="2"/>
        <v>32</v>
      </c>
      <c r="M51" t="s">
        <v>470</v>
      </c>
      <c r="N51" s="152" t="s">
        <v>93</v>
      </c>
      <c r="O51" s="146">
        <f>'[1]Pool-gardien'!$B$70</f>
        <v>25.81095890410959</v>
      </c>
      <c r="P51" s="113" t="str">
        <f>'[1]Pool-gardien'!$C$70</f>
        <v>Cgy</v>
      </c>
      <c r="Q51" s="114" t="str">
        <f>'[1]Pool-gardien'!$D$70</f>
        <v>Curtis McElhinney</v>
      </c>
      <c r="R51" s="113">
        <f>'[1]Pool-gardien'!$E$70-2</f>
        <v>0</v>
      </c>
      <c r="S51" s="113">
        <f>'[1]Pool-gardien'!$F$70</f>
        <v>0</v>
      </c>
      <c r="T51" s="116">
        <f>'[1]Pool-gardien'!$G$70</f>
        <v>0</v>
      </c>
      <c r="U51" s="116">
        <f>'[1]Pool-gardien'!$H$70</f>
        <v>0</v>
      </c>
      <c r="V51" s="116">
        <f>'[1]Pool-gardien'!$I$70</f>
        <v>0</v>
      </c>
      <c r="W51" s="116">
        <f>'[1]Pool-gardien'!$J$70</f>
        <v>0</v>
      </c>
      <c r="X51" s="30">
        <f t="shared" si="3"/>
        <v>0</v>
      </c>
    </row>
    <row r="52" spans="1:24" ht="12.75">
      <c r="A52" s="131" t="s">
        <v>39</v>
      </c>
      <c r="B52" s="84" t="s">
        <v>28</v>
      </c>
      <c r="C52" s="113">
        <f>'[1]Pool-gardien'!$B$99</f>
        <v>32.2</v>
      </c>
      <c r="D52" s="113" t="str">
        <f>'[1]Pool-gardien'!$C$99</f>
        <v>S.J.</v>
      </c>
      <c r="E52" s="114" t="str">
        <f>'[1]Pool-gardien'!$D$99</f>
        <v>Brian Boucher</v>
      </c>
      <c r="F52" s="113">
        <f>('[1]Pool-gardien'!$E$99)-9</f>
        <v>9</v>
      </c>
      <c r="G52" s="113">
        <f>('[1]Pool-gardien'!$F$99)-7</f>
        <v>3</v>
      </c>
      <c r="H52" s="113">
        <f>('[1]Pool-gardien'!$G$99)-1</f>
        <v>2</v>
      </c>
      <c r="I52" s="116">
        <f>('[1]Pool-gardien'!$H$99)-2</f>
        <v>0</v>
      </c>
      <c r="J52" s="116">
        <f>('[1]Pool-gardien'!$I$99)-0</f>
        <v>0</v>
      </c>
      <c r="K52" s="116">
        <f>('[1]Pool-gardien'!$J$99)-0</f>
        <v>0</v>
      </c>
      <c r="L52" s="30">
        <f>(G52*2)+H52+(I52*4)+(J52*10)+K52</f>
        <v>8</v>
      </c>
      <c r="M52" t="s">
        <v>471</v>
      </c>
      <c r="N52" s="152" t="s">
        <v>28</v>
      </c>
      <c r="O52" s="145">
        <f>'[1]Pool-gardien'!$B$78</f>
        <v>33.95068493150685</v>
      </c>
      <c r="P52" s="116" t="str">
        <f>'[1]Pool-gardien'!$C$78</f>
        <v>N.J.</v>
      </c>
      <c r="Q52" s="117" t="str">
        <f>'[1]Pool-gardien'!$D$78</f>
        <v>Kevin Weekes</v>
      </c>
      <c r="R52" s="116">
        <v>3</v>
      </c>
      <c r="S52" s="116">
        <v>1</v>
      </c>
      <c r="T52" s="116">
        <v>0</v>
      </c>
      <c r="U52" s="116">
        <v>0</v>
      </c>
      <c r="V52" s="116">
        <v>0</v>
      </c>
      <c r="W52" s="116">
        <v>0</v>
      </c>
      <c r="X52" s="30">
        <f t="shared" si="3"/>
        <v>2</v>
      </c>
    </row>
    <row r="53" spans="1:24" ht="12.75">
      <c r="A53" s="131" t="s">
        <v>65</v>
      </c>
      <c r="B53" s="84" t="s">
        <v>28</v>
      </c>
      <c r="C53" s="115">
        <f>'[1]Pool-gardien'!$B$76</f>
        <v>26.613698630136987</v>
      </c>
      <c r="D53" s="115" t="str">
        <f>'[1]Pool-gardien'!$C$76</f>
        <v>L.A.</v>
      </c>
      <c r="E53" s="154" t="str">
        <f>'[1]Pool-gardien'!$D$76</f>
        <v>Erik Ersberg</v>
      </c>
      <c r="F53" s="115">
        <f>('[1]Pool-gardien'!$E$76)-12</f>
        <v>13</v>
      </c>
      <c r="G53" s="115">
        <f>('[1]Pool-gardien'!$F$76)-5</f>
        <v>3</v>
      </c>
      <c r="H53" s="115">
        <f>('[1]Pool-gardien'!$G$76)-2</f>
        <v>2</v>
      </c>
      <c r="I53" s="115">
        <f>('[1]Pool-gardien'!$H$76)-0</f>
        <v>0</v>
      </c>
      <c r="J53" s="115">
        <f>('[1]Pool-gardien'!$I$76)-0</f>
        <v>0</v>
      </c>
      <c r="K53" s="115">
        <f>('[1]Pool-gardien'!$J$76)-0</f>
        <v>0</v>
      </c>
      <c r="L53" s="30">
        <f>(G53*2)+H53+(I53*4)+(J53*10)+K53</f>
        <v>8</v>
      </c>
      <c r="M53" t="s">
        <v>471</v>
      </c>
      <c r="N53" s="152" t="s">
        <v>33</v>
      </c>
      <c r="O53" s="144">
        <f>'[1]POOL-joueus'!$B$313</f>
        <v>28.778082191780822</v>
      </c>
      <c r="P53" s="109" t="str">
        <f>'[1]POOL-joueus'!$C$313</f>
        <v>Ana</v>
      </c>
      <c r="Q53" s="109" t="str">
        <f>'[1]POOL-joueus'!$D$313</f>
        <v>Francois Beauchemin</v>
      </c>
      <c r="R53" s="115">
        <v>18</v>
      </c>
      <c r="S53" s="115">
        <v>4</v>
      </c>
      <c r="T53" s="115">
        <v>1</v>
      </c>
      <c r="X53" s="126">
        <f>SUM(S53:T53)</f>
        <v>5</v>
      </c>
    </row>
    <row r="54" spans="1:14" ht="12.75">
      <c r="A54" s="131" t="s">
        <v>32</v>
      </c>
      <c r="B54" s="84" t="s">
        <v>28</v>
      </c>
      <c r="C54" s="116">
        <f>'[1]Pool-gardien'!$B$50</f>
        <v>29.443835616438356</v>
      </c>
      <c r="D54" s="133" t="str">
        <f>'[1]Pool-gardien'!$C$50</f>
        <v>Van</v>
      </c>
      <c r="E54" s="153" t="str">
        <f>'[1]Pool-gardien'!$D$50</f>
        <v>Curtis Sanford</v>
      </c>
      <c r="F54" s="133">
        <f>('[1]Pool-gardien'!$E$50)-5</f>
        <v>14</v>
      </c>
      <c r="G54" s="133">
        <f>('[1]Pool-gardien'!$F$50)-3</f>
        <v>4</v>
      </c>
      <c r="H54" s="133">
        <f>('[1]Pool-gardien'!$G$50)-0</f>
        <v>0</v>
      </c>
      <c r="I54" s="133">
        <f>('[1]Pool-gardien'!$H$50)-0</f>
        <v>1</v>
      </c>
      <c r="J54" s="133">
        <f>('[1]Pool-gardien'!$I$50)-0</f>
        <v>0</v>
      </c>
      <c r="K54" s="133">
        <f>('[1]Pool-gardien'!$J$50)-0</f>
        <v>0</v>
      </c>
      <c r="L54" s="30">
        <f>(G54*2)+H54+(I54*4)+(J54*10)+K54</f>
        <v>12</v>
      </c>
      <c r="M54" t="s">
        <v>471</v>
      </c>
      <c r="N54" s="152" t="s">
        <v>24</v>
      </c>
    </row>
    <row r="55" spans="1:21" ht="12.75">
      <c r="A55" s="131" t="s">
        <v>65</v>
      </c>
      <c r="B55" s="84" t="s">
        <v>364</v>
      </c>
      <c r="C55" s="113"/>
      <c r="D55" s="147"/>
      <c r="E55" s="148" t="s">
        <v>474</v>
      </c>
      <c r="F55" s="147">
        <v>2</v>
      </c>
      <c r="G55" s="147">
        <v>0</v>
      </c>
      <c r="H55" s="147">
        <v>3</v>
      </c>
      <c r="I55" s="147">
        <v>6</v>
      </c>
      <c r="J55" s="31"/>
      <c r="K55" s="147"/>
      <c r="L55" s="30"/>
      <c r="M55" t="s">
        <v>475</v>
      </c>
      <c r="N55" s="152" t="s">
        <v>364</v>
      </c>
      <c r="Q55" s="164" t="str">
        <f>'[1]Equipes-Pool'!$B$15</f>
        <v>Senateurs d'ottawa</v>
      </c>
      <c r="R55" s="137">
        <v>21</v>
      </c>
      <c r="S55" s="137">
        <v>20</v>
      </c>
      <c r="T55" s="137">
        <v>50</v>
      </c>
      <c r="U55" s="137">
        <v>52</v>
      </c>
    </row>
    <row r="56" spans="1:17" ht="12.75">
      <c r="A56" s="131" t="s">
        <v>52</v>
      </c>
      <c r="B56" s="84" t="s">
        <v>28</v>
      </c>
      <c r="C56" s="115">
        <f>'[1]Pool-gardien'!$B$45</f>
        <v>28.53150684931507</v>
      </c>
      <c r="D56" s="115" t="str">
        <f>'[1]Pool-gardien'!$C$45</f>
        <v>Edm</v>
      </c>
      <c r="E56" s="154" t="str">
        <f>'[1]Pool-gardien'!$D$45</f>
        <v>Dany Sabourin</v>
      </c>
      <c r="F56" s="115">
        <f>('[1]Pool-gardien'!$E$45)-9</f>
        <v>10</v>
      </c>
      <c r="G56" s="115">
        <f>('[1]Pool-gardien'!$F$45)-5</f>
        <v>1</v>
      </c>
      <c r="H56" s="115">
        <f>('[1]Pool-gardien'!$G$45)-1</f>
        <v>1</v>
      </c>
      <c r="I56" s="115">
        <f>('[1]Pool-gardien'!$H$45)-0</f>
        <v>0</v>
      </c>
      <c r="J56" s="109">
        <f>('[1]Pool-gardien'!$I$45)-0</f>
        <v>0</v>
      </c>
      <c r="K56" s="115">
        <f>('[1]Pool-gardien'!$J$45)-0</f>
        <v>0</v>
      </c>
      <c r="L56" s="30">
        <f>(G56*2)+H56+(I56*4)+(J56*10)+K56</f>
        <v>3</v>
      </c>
      <c r="M56" t="s">
        <v>472</v>
      </c>
      <c r="N56" s="152" t="s">
        <v>24</v>
      </c>
      <c r="O56" s="34">
        <v>21.106849315068494</v>
      </c>
      <c r="P56" s="31" t="s">
        <v>84</v>
      </c>
      <c r="Q56" s="61" t="s">
        <v>473</v>
      </c>
    </row>
    <row r="57" spans="1:25" ht="12.75" customHeight="1">
      <c r="A57" s="131" t="s">
        <v>45</v>
      </c>
      <c r="B57" s="84" t="s">
        <v>12</v>
      </c>
      <c r="C57" s="115">
        <f>'[1]POOL-joueus'!$B$801</f>
        <v>26.21095890410959</v>
      </c>
      <c r="D57" s="115" t="str">
        <f>'[1]POOL-joueus'!$C$801</f>
        <v>Cgy</v>
      </c>
      <c r="E57" s="154" t="str">
        <f>'[1]POOL-joueus'!$D$801</f>
        <v>Curtis Glencross</v>
      </c>
      <c r="F57" s="109">
        <f>('[1]POOL-joueus'!$E$801)-24</f>
        <v>36</v>
      </c>
      <c r="G57" s="109">
        <f>('[1]POOL-joueus'!$F$801)-5</f>
        <v>5</v>
      </c>
      <c r="H57" s="109">
        <f>('[1]POOL-joueus'!$G$801)-10</f>
        <v>14</v>
      </c>
      <c r="L57" s="126">
        <f aca="true" t="shared" si="4" ref="L57:L64">SUM(G57:H57)</f>
        <v>19</v>
      </c>
      <c r="M57" t="s">
        <v>476</v>
      </c>
      <c r="N57" s="152" t="s">
        <v>12</v>
      </c>
      <c r="O57" s="144">
        <f>'[1]POOL-joueus'!$B$289</f>
        <v>25.24109589041096</v>
      </c>
      <c r="P57" s="109" t="str">
        <f>'[1]POOL-joueus'!$C$289</f>
        <v>Ana</v>
      </c>
      <c r="Q57" s="111" t="str">
        <f>'[1]POOL-joueus'!$D$289</f>
        <v>Erik Christensen</v>
      </c>
      <c r="R57" s="18">
        <v>21</v>
      </c>
      <c r="S57" s="18">
        <v>1</v>
      </c>
      <c r="T57" s="18">
        <v>7</v>
      </c>
      <c r="U57" s="135"/>
      <c r="V57" s="135"/>
      <c r="W57" s="135"/>
      <c r="X57" s="126">
        <f aca="true" t="shared" si="5" ref="X57:X84">SUM(S57:T57)</f>
        <v>8</v>
      </c>
      <c r="Y57" s="135"/>
    </row>
    <row r="58" spans="1:24" ht="12.75" customHeight="1">
      <c r="A58" s="131" t="s">
        <v>32</v>
      </c>
      <c r="B58" s="84" t="s">
        <v>12</v>
      </c>
      <c r="C58" s="109">
        <f>'[1]POOL-joueus'!$B$451</f>
        <v>34.6958904109589</v>
      </c>
      <c r="D58" s="109" t="str">
        <f>'[1]POOL-joueus'!$C$451</f>
        <v>Nsh</v>
      </c>
      <c r="E58" s="111" t="str">
        <f>'[1]POOL-joueus'!$D$451</f>
        <v>Steve Sullivan</v>
      </c>
      <c r="F58" s="115">
        <f>'[1]POOL-joueus'!$E$451</f>
        <v>25</v>
      </c>
      <c r="G58" s="115">
        <f>'[1]POOL-joueus'!$F$451</f>
        <v>7</v>
      </c>
      <c r="H58" s="115">
        <f>'[1]POOL-joueus'!$G$451</f>
        <v>10</v>
      </c>
      <c r="L58" s="126">
        <f t="shared" si="4"/>
        <v>17</v>
      </c>
      <c r="M58" t="s">
        <v>477</v>
      </c>
      <c r="N58" s="152" t="s">
        <v>12</v>
      </c>
      <c r="O58" s="169">
        <v>22.438356164383563</v>
      </c>
      <c r="P58" s="14" t="s">
        <v>29</v>
      </c>
      <c r="Q58" s="13" t="s">
        <v>276</v>
      </c>
      <c r="R58" s="18">
        <v>0</v>
      </c>
      <c r="S58" s="18"/>
      <c r="T58" s="18"/>
      <c r="X58" s="126">
        <f t="shared" si="5"/>
        <v>0</v>
      </c>
    </row>
    <row r="59" spans="1:24" ht="12.75">
      <c r="A59" s="131" t="s">
        <v>65</v>
      </c>
      <c r="B59" s="137" t="s">
        <v>24</v>
      </c>
      <c r="C59" s="109">
        <f>'[1]POOL-joueus'!$B$802</f>
        <v>22.893150684931506</v>
      </c>
      <c r="D59" s="109" t="str">
        <f>'[1]POOL-joueus'!$C$802</f>
        <v>Phx</v>
      </c>
      <c r="E59" s="111" t="str">
        <f>'[1]POOL-joueus'!$D$802</f>
        <v>Enver Lisin</v>
      </c>
      <c r="F59" s="109">
        <f>('[1]POOL-joueus'!$E$802)-9</f>
        <v>35</v>
      </c>
      <c r="G59" s="109">
        <f>('[1]POOL-joueus'!$F$802)-4</f>
        <v>6</v>
      </c>
      <c r="H59" s="109">
        <f>('[1]POOL-joueus'!$G$802)-2</f>
        <v>5</v>
      </c>
      <c r="L59" s="126">
        <f t="shared" si="4"/>
        <v>11</v>
      </c>
      <c r="M59" t="s">
        <v>477</v>
      </c>
      <c r="N59" s="152" t="s">
        <v>12</v>
      </c>
      <c r="O59" s="144">
        <f>'[1]POOL-joueus'!$B$206</f>
        <v>34.00547945205479</v>
      </c>
      <c r="P59" s="109" t="str">
        <f>'[1]POOL-joueus'!$C$206</f>
        <v>Col</v>
      </c>
      <c r="Q59" s="111" t="str">
        <f>'[1]POOL-joueus'!$D$206</f>
        <v>Darcy Tucker</v>
      </c>
      <c r="R59" s="109">
        <v>20</v>
      </c>
      <c r="S59" s="109">
        <v>4</v>
      </c>
      <c r="T59" s="109">
        <v>3</v>
      </c>
      <c r="X59" s="126">
        <f t="shared" si="5"/>
        <v>7</v>
      </c>
    </row>
    <row r="60" spans="1:24" ht="12.75">
      <c r="A60" s="131" t="s">
        <v>45</v>
      </c>
      <c r="B60" s="137" t="s">
        <v>19</v>
      </c>
      <c r="C60" s="109">
        <f>'[1]POOL-joueus'!$B$803</f>
        <v>23.813698630136987</v>
      </c>
      <c r="D60" s="109" t="str">
        <f>'[1]POOL-joueus'!$C$803</f>
        <v>Bos</v>
      </c>
      <c r="E60" s="111" t="str">
        <f>'[1]POOL-joueus'!$D$803</f>
        <v>Matt Hunwick</v>
      </c>
      <c r="F60" s="165">
        <f>('[1]POOL-joueus'!$E$803)-13</f>
        <v>29</v>
      </c>
      <c r="G60" s="165">
        <f>('[1]POOL-joueus'!$F$803)-3</f>
        <v>2</v>
      </c>
      <c r="H60" s="165">
        <f>('[1]POOL-joueus'!$G$803)-6</f>
        <v>8</v>
      </c>
      <c r="L60" s="126">
        <f t="shared" si="4"/>
        <v>10</v>
      </c>
      <c r="M60" t="s">
        <v>477</v>
      </c>
      <c r="N60" s="133" t="s">
        <v>33</v>
      </c>
      <c r="O60" s="144">
        <f>'[1]POOL-joueus'!$B$448</f>
        <v>25.446575342465753</v>
      </c>
      <c r="P60" s="109" t="str">
        <f>'[1]POOL-joueus'!$C$448</f>
        <v>Cgy</v>
      </c>
      <c r="Q60" s="110" t="str">
        <f>'[1]POOL-joueus'!$D$448</f>
        <v>Mark Giordano</v>
      </c>
      <c r="R60" s="138">
        <v>23</v>
      </c>
      <c r="S60" s="138">
        <v>1</v>
      </c>
      <c r="T60" s="138">
        <v>8</v>
      </c>
      <c r="X60" s="126">
        <f t="shared" si="5"/>
        <v>9</v>
      </c>
    </row>
    <row r="61" spans="1:24" ht="12.75">
      <c r="A61" s="131" t="s">
        <v>23</v>
      </c>
      <c r="B61" s="116" t="s">
        <v>19</v>
      </c>
      <c r="C61" s="109">
        <f>'[1]POOL-joueus'!$B$776</f>
        <v>24.405479452054795</v>
      </c>
      <c r="D61" s="109" t="str">
        <f>'[1]POOL-joueus'!$C$776</f>
        <v>Wsh</v>
      </c>
      <c r="E61" s="111" t="str">
        <f>'[1]POOL-joueus'!$D$776</f>
        <v>Sami Lepisto</v>
      </c>
      <c r="F61" s="109">
        <f>('[1]POOL-joueus'!$E$776)-5</f>
        <v>2</v>
      </c>
      <c r="G61" s="109">
        <f>('[1]POOL-joueus'!$F$776)-0</f>
        <v>0</v>
      </c>
      <c r="H61" s="109">
        <f>('[1]POOL-joueus'!$G$776)-4</f>
        <v>0</v>
      </c>
      <c r="L61" s="126">
        <f t="shared" si="4"/>
        <v>0</v>
      </c>
      <c r="M61" t="s">
        <v>477</v>
      </c>
      <c r="N61" s="116" t="s">
        <v>24</v>
      </c>
      <c r="O61" s="144">
        <f>'[1]POOL-joueus'!$B$495</f>
        <v>19.076712328767123</v>
      </c>
      <c r="P61" s="109" t="str">
        <f>'[1]POOL-joueus'!$C$495</f>
        <v>Chi</v>
      </c>
      <c r="Q61" s="111" t="str">
        <f>'[1]POOL-joueus'!$D$495</f>
        <v>Kyle Beach</v>
      </c>
      <c r="R61" s="109">
        <f>'[1]POOL-joueus'!$E$495</f>
        <v>0</v>
      </c>
      <c r="S61" s="109">
        <f>'[1]POOL-joueus'!$F$495</f>
        <v>0</v>
      </c>
      <c r="T61" s="109">
        <f>'[1]POOL-joueus'!$G$495</f>
        <v>0</v>
      </c>
      <c r="X61" s="126">
        <f t="shared" si="5"/>
        <v>0</v>
      </c>
    </row>
    <row r="62" spans="1:24" ht="12.75">
      <c r="A62" s="131" t="s">
        <v>23</v>
      </c>
      <c r="B62" s="30" t="s">
        <v>24</v>
      </c>
      <c r="C62" s="116">
        <f>'[1]POOL-joueus'!$B$453</f>
        <v>22.389041095890413</v>
      </c>
      <c r="D62" s="116" t="str">
        <f>'[1]POOL-joueus'!$C$453</f>
        <v>Mtl</v>
      </c>
      <c r="E62" s="117" t="str">
        <f>'[1]POOL-joueus'!$D$453</f>
        <v>Matt D'Agostini</v>
      </c>
      <c r="F62" s="116">
        <f>('[1]POOL-joueus'!$E$453)-3</f>
        <v>40</v>
      </c>
      <c r="G62" s="116">
        <f>('[1]POOL-joueus'!$F$453)-2</f>
        <v>8</v>
      </c>
      <c r="H62" s="116">
        <f>('[1]POOL-joueus'!$G$453)-1</f>
        <v>7</v>
      </c>
      <c r="L62" s="126">
        <f t="shared" si="4"/>
        <v>15</v>
      </c>
      <c r="M62" t="s">
        <v>477</v>
      </c>
      <c r="N62" s="152" t="s">
        <v>12</v>
      </c>
      <c r="O62" s="145">
        <f>'[1]POOL-joueus'!$B$238</f>
        <v>29.87123287671233</v>
      </c>
      <c r="P62" s="116" t="str">
        <f>'[1]POOL-joueus'!$C$238</f>
        <v>Cbj</v>
      </c>
      <c r="Q62" s="117" t="str">
        <f>'[1]POOL-joueus'!$D$238</f>
        <v>Jason Chimera</v>
      </c>
      <c r="R62" s="116">
        <v>14</v>
      </c>
      <c r="S62" s="116">
        <v>2</v>
      </c>
      <c r="T62" s="116">
        <v>5</v>
      </c>
      <c r="X62" s="126">
        <f t="shared" si="5"/>
        <v>7</v>
      </c>
    </row>
    <row r="63" spans="1:24" ht="12.75">
      <c r="A63" s="131" t="s">
        <v>45</v>
      </c>
      <c r="B63" s="167" t="s">
        <v>40</v>
      </c>
      <c r="C63" s="109">
        <f>'[1]POOL-joueus'!$B$256</f>
        <v>22.553424657534247</v>
      </c>
      <c r="D63" s="109" t="str">
        <f>'[1]POOL-joueus'!$C$256</f>
        <v>Bos</v>
      </c>
      <c r="E63" s="111" t="str">
        <f>'[1]POOL-joueus'!$D$256</f>
        <v>David Krejci</v>
      </c>
      <c r="F63" s="109">
        <f>('[1]POOL-joueus'!$E$256)-25</f>
        <v>42</v>
      </c>
      <c r="G63" s="109">
        <f>('[1]POOL-joueus'!$F$256)-8</f>
        <v>13</v>
      </c>
      <c r="H63" s="109">
        <f>('[1]POOL-joueus'!$G$256)-12</f>
        <v>28</v>
      </c>
      <c r="L63" s="126">
        <f t="shared" si="4"/>
        <v>41</v>
      </c>
      <c r="M63" t="s">
        <v>478</v>
      </c>
      <c r="N63" s="137" t="s">
        <v>19</v>
      </c>
      <c r="O63" s="144">
        <f>'[1]POOL-joueus'!$B$770</f>
        <v>24.235616438356164</v>
      </c>
      <c r="P63" s="109" t="str">
        <f>'[1]POOL-joueus'!$C$770</f>
        <v>L.A.</v>
      </c>
      <c r="Q63" s="111" t="str">
        <f>'[1]POOL-joueus'!$D$770</f>
        <v>Brian Boyle</v>
      </c>
      <c r="R63" s="109">
        <v>11</v>
      </c>
      <c r="S63" s="109">
        <v>1</v>
      </c>
      <c r="T63" s="109">
        <v>0</v>
      </c>
      <c r="X63" s="126">
        <f t="shared" si="5"/>
        <v>1</v>
      </c>
    </row>
    <row r="64" spans="1:24" ht="12.75">
      <c r="A64" s="131" t="s">
        <v>65</v>
      </c>
      <c r="B64" s="167" t="s">
        <v>24</v>
      </c>
      <c r="C64" s="109">
        <f>'[1]POOL-joueus'!$B$455</f>
        <v>22.7013698630137</v>
      </c>
      <c r="D64" s="109" t="str">
        <f>'[1]POOL-joueus'!$C$455</f>
        <v>Edm</v>
      </c>
      <c r="E64" s="111" t="str">
        <f>'[1]POOL-joueus'!$D$455</f>
        <v>Rob Schremp</v>
      </c>
      <c r="F64" s="109">
        <f>('[1]POOL-joueus'!$E$455)-2</f>
        <v>2</v>
      </c>
      <c r="G64" s="109">
        <f>('[1]POOL-joueus'!$F$455)-0</f>
        <v>0</v>
      </c>
      <c r="H64" s="109">
        <f>('[1]POOL-joueus'!$G$455)-3</f>
        <v>0</v>
      </c>
      <c r="L64" s="126">
        <f t="shared" si="4"/>
        <v>0</v>
      </c>
      <c r="M64" t="s">
        <v>478</v>
      </c>
      <c r="N64" s="30" t="s">
        <v>12</v>
      </c>
      <c r="O64" s="145">
        <f>'[1]POOL-joueus'!$B$146</f>
        <v>24.172602739726027</v>
      </c>
      <c r="P64" s="116" t="str">
        <f>'[1]POOL-joueus'!$C$146</f>
        <v>Edm</v>
      </c>
      <c r="Q64" s="117" t="str">
        <f>'[1]POOL-joueus'!$D$146</f>
        <v>Robert Nilsson</v>
      </c>
      <c r="R64" s="116">
        <v>23</v>
      </c>
      <c r="S64" s="116">
        <v>3</v>
      </c>
      <c r="T64" s="116">
        <v>5</v>
      </c>
      <c r="X64" s="126">
        <f t="shared" si="5"/>
        <v>8</v>
      </c>
    </row>
    <row r="65" spans="1:24" ht="12.75">
      <c r="A65" s="131" t="s">
        <v>8</v>
      </c>
      <c r="B65" s="84" t="s">
        <v>28</v>
      </c>
      <c r="C65" s="113">
        <f>'[1]Pool-gardien'!$B$75</f>
        <v>27.816438356164383</v>
      </c>
      <c r="D65" s="113" t="str">
        <f>'[1]Pool-gardien'!$C$75</f>
        <v>Fla</v>
      </c>
      <c r="E65" s="114" t="str">
        <f>'[1]Pool-gardien'!$D$75</f>
        <v>Craig Anderson</v>
      </c>
      <c r="F65" s="113">
        <f>('[1]Pool-gardien'!$E$75)-13</f>
        <v>14</v>
      </c>
      <c r="G65" s="113">
        <f>('[1]Pool-gardien'!$F$75)-6</f>
        <v>6</v>
      </c>
      <c r="H65" s="113">
        <f>('[1]Pool-gardien'!$G$75)-3</f>
        <v>2</v>
      </c>
      <c r="I65" s="116">
        <f>('[1]Pool-gardien'!$H$75)-2</f>
        <v>1</v>
      </c>
      <c r="J65" s="116">
        <f>('[1]Pool-gardien'!$I$75)-0</f>
        <v>0</v>
      </c>
      <c r="K65" s="116">
        <f>('[1]Pool-gardien'!$J$75)-0</f>
        <v>1</v>
      </c>
      <c r="L65" s="30">
        <f>(G65*2)+H65+(I65*4)+(J65*10)+K65</f>
        <v>19</v>
      </c>
      <c r="M65" t="s">
        <v>479</v>
      </c>
      <c r="N65" s="30" t="s">
        <v>33</v>
      </c>
      <c r="O65" s="145">
        <f>'[1]POOL-joueus'!$B$347</f>
        <v>31.019178082191782</v>
      </c>
      <c r="P65" s="116" t="str">
        <f>'[1]POOL-joueus'!$C$347</f>
        <v>Ott</v>
      </c>
      <c r="Q65" s="117" t="str">
        <f>'[1]POOL-joueus'!$D$347</f>
        <v>Chris Phillips</v>
      </c>
      <c r="R65" s="116">
        <v>24</v>
      </c>
      <c r="S65" s="116">
        <v>0</v>
      </c>
      <c r="T65" s="116">
        <v>2</v>
      </c>
      <c r="X65" s="126">
        <f t="shared" si="5"/>
        <v>2</v>
      </c>
    </row>
    <row r="66" spans="1:24" ht="12.75">
      <c r="A66" s="131" t="s">
        <v>8</v>
      </c>
      <c r="B66" s="84" t="s">
        <v>28</v>
      </c>
      <c r="C66" s="113">
        <f>'[1]Pool-gardien'!$B$128</f>
        <v>31.646575342465752</v>
      </c>
      <c r="D66" s="113" t="str">
        <f>'[1]Pool-gardien'!$C$128</f>
        <v>N.J.</v>
      </c>
      <c r="E66" s="114" t="str">
        <f>'[1]Pool-gardien'!$D$128</f>
        <v>Scott Clemmensen</v>
      </c>
      <c r="F66" s="113">
        <f>('[1]Pool-gardien'!$E$128)-10</f>
        <v>30</v>
      </c>
      <c r="G66" s="113">
        <f>('[1]Pool-gardien'!$F$128)-6</f>
        <v>19</v>
      </c>
      <c r="H66" s="113">
        <f>('[1]Pool-gardien'!$G$128)-0</f>
        <v>1</v>
      </c>
      <c r="I66" s="113">
        <f>('[1]Pool-gardien'!$H$128)-0</f>
        <v>2</v>
      </c>
      <c r="J66" s="113">
        <f>('[1]Pool-gardien'!$I$128)-0</f>
        <v>0</v>
      </c>
      <c r="K66" s="113">
        <f>('[1]Pool-gardien'!$J$128)-0</f>
        <v>0</v>
      </c>
      <c r="L66" s="30">
        <f>(G66*2)+H66+(I66*4)+(J66*10)+K66</f>
        <v>47</v>
      </c>
      <c r="M66" t="s">
        <v>479</v>
      </c>
      <c r="N66" s="84" t="s">
        <v>441</v>
      </c>
      <c r="O66" s="113">
        <f>'[1]Pool-gardien'!$B$51</f>
        <v>23.18082191780822</v>
      </c>
      <c r="P66" s="113" t="str">
        <f>'[1]Pool-gardien'!$C$51</f>
        <v>T.B.</v>
      </c>
      <c r="Q66" s="114" t="str">
        <f>'[1]Pool-gardien'!$D$51</f>
        <v>Kami Ramo</v>
      </c>
      <c r="R66" s="116">
        <v>1</v>
      </c>
      <c r="S66" s="116">
        <v>0</v>
      </c>
      <c r="T66" s="116">
        <v>0</v>
      </c>
      <c r="U66" s="116">
        <v>0</v>
      </c>
      <c r="V66" s="116">
        <v>0</v>
      </c>
      <c r="W66" s="116">
        <v>0</v>
      </c>
      <c r="X66" s="30">
        <f>(S66*2)+T66+(U66*4)+(V66*10)+W66</f>
        <v>0</v>
      </c>
    </row>
    <row r="67" spans="1:24" ht="12.75">
      <c r="A67" s="131" t="s">
        <v>27</v>
      </c>
      <c r="B67" s="84" t="s">
        <v>12</v>
      </c>
      <c r="C67" s="109">
        <f>'[1]POOL-joueus'!$B$238</f>
        <v>29.87123287671233</v>
      </c>
      <c r="D67" s="109" t="str">
        <f>'[1]POOL-joueus'!$C$238</f>
        <v>Cbj</v>
      </c>
      <c r="E67" s="111" t="str">
        <f>'[1]POOL-joueus'!$D$238</f>
        <v>Jason Chimera</v>
      </c>
      <c r="F67" s="109">
        <f>('[1]POOL-joueus'!$E$238)-26</f>
        <v>5</v>
      </c>
      <c r="G67" s="109">
        <f>('[1]POOL-joueus'!$F$238)-6</f>
        <v>1</v>
      </c>
      <c r="H67" s="109">
        <f>('[1]POOL-joueus'!$G$238)-11</f>
        <v>0</v>
      </c>
      <c r="L67" s="126">
        <f>SUM(G67:H67)</f>
        <v>1</v>
      </c>
      <c r="M67" t="s">
        <v>480</v>
      </c>
      <c r="N67" s="84" t="s">
        <v>33</v>
      </c>
      <c r="O67" s="109">
        <f>'[1]POOL-joueus'!$B$294</f>
        <v>29.356164383561644</v>
      </c>
      <c r="P67" s="109" t="str">
        <f>'[1]POOL-joueus'!$C$294</f>
        <v>Det</v>
      </c>
      <c r="Q67" s="111" t="str">
        <f>'[1]POOL-joueus'!$D$294</f>
        <v>Brad Stuart</v>
      </c>
      <c r="R67" s="115">
        <v>13</v>
      </c>
      <c r="S67" s="115">
        <v>0</v>
      </c>
      <c r="T67" s="115">
        <v>0</v>
      </c>
      <c r="X67" s="172">
        <f t="shared" si="5"/>
        <v>0</v>
      </c>
    </row>
    <row r="68" spans="1:24" ht="15.75">
      <c r="A68" s="131" t="s">
        <v>65</v>
      </c>
      <c r="B68" s="84" t="s">
        <v>441</v>
      </c>
      <c r="C68" s="113">
        <f>'[1]Pool-gardien'!$B$129</f>
        <v>20.876712328767123</v>
      </c>
      <c r="D68" s="113" t="str">
        <f>'[1]Pool-gardien'!$C$129</f>
        <v>Wsh</v>
      </c>
      <c r="E68" s="114" t="str">
        <f>'[1]Pool-gardien'!$D$129</f>
        <v>Simeon Varlamov</v>
      </c>
      <c r="F68" s="113">
        <f>('[1]Pool-gardien'!$E$129)-1</f>
        <v>1</v>
      </c>
      <c r="G68" s="113">
        <f>('[1]Pool-gardien'!$F$129)-1</f>
        <v>1</v>
      </c>
      <c r="H68" s="113">
        <f>('[1]Pool-gardien'!$G$129)-0</f>
        <v>0</v>
      </c>
      <c r="I68" s="116">
        <f>('[1]Pool-gardien'!$H$129)-0</f>
        <v>0</v>
      </c>
      <c r="J68" s="116">
        <f>('[1]Pool-gardien'!$I$129)-0</f>
        <v>0</v>
      </c>
      <c r="K68" s="116">
        <f>('[1]Pool-gardien'!$J$129)-0</f>
        <v>0</v>
      </c>
      <c r="L68" s="30">
        <f>(G68*2)+H68+(I68*4)+(J68*10)+K68</f>
        <v>2</v>
      </c>
      <c r="M68" t="s">
        <v>483</v>
      </c>
      <c r="N68" s="171" t="s">
        <v>482</v>
      </c>
      <c r="O68" s="170">
        <v>23.915068493150685</v>
      </c>
      <c r="P68" s="14" t="s">
        <v>140</v>
      </c>
      <c r="Q68" s="13" t="s">
        <v>481</v>
      </c>
      <c r="R68" s="18">
        <v>24</v>
      </c>
      <c r="S68" s="18">
        <v>2</v>
      </c>
      <c r="T68" s="18">
        <v>5</v>
      </c>
      <c r="X68" s="126">
        <f t="shared" si="5"/>
        <v>7</v>
      </c>
    </row>
    <row r="69" spans="1:24" ht="12.75">
      <c r="A69" s="131" t="s">
        <v>27</v>
      </c>
      <c r="B69" s="84" t="s">
        <v>33</v>
      </c>
      <c r="C69" s="115">
        <f>'[1]POOL-joueus'!$B$271</f>
        <v>25.06027397260274</v>
      </c>
      <c r="D69" s="115" t="str">
        <f>'[1]POOL-joueus'!$C$271</f>
        <v>Chi</v>
      </c>
      <c r="E69" s="154" t="str">
        <f>'[1]POOL-joueus'!$D$271</f>
        <v>James Wisniewski</v>
      </c>
      <c r="F69" s="109">
        <f>('[1]POOL-joueus'!$E$271)-1</f>
        <v>30</v>
      </c>
      <c r="G69" s="109">
        <f>('[1]POOL-joueus'!$F$271)-0</f>
        <v>2</v>
      </c>
      <c r="H69" s="109">
        <f>('[1]POOL-joueus'!$G$271)-3</f>
        <v>8</v>
      </c>
      <c r="L69" s="126">
        <f aca="true" t="shared" si="6" ref="L69:L74">SUM(G69:H69)</f>
        <v>10</v>
      </c>
      <c r="M69" t="s">
        <v>484</v>
      </c>
      <c r="N69" s="171" t="s">
        <v>33</v>
      </c>
      <c r="O69" s="109">
        <f>'[1]POOL-joueus'!$B$785</f>
        <v>22.616438356164384</v>
      </c>
      <c r="P69" s="109" t="str">
        <f>'[1]POOL-joueus'!$C$785</f>
        <v>Tor</v>
      </c>
      <c r="Q69" s="111" t="str">
        <f>'[1]POOL-joueus'!$D$785</f>
        <v>Anton Stralman</v>
      </c>
      <c r="R69" s="109">
        <v>21</v>
      </c>
      <c r="S69" s="109">
        <v>1</v>
      </c>
      <c r="T69" s="109">
        <v>6</v>
      </c>
      <c r="X69" s="126">
        <f t="shared" si="5"/>
        <v>7</v>
      </c>
    </row>
    <row r="70" spans="1:24" ht="12.75">
      <c r="A70" s="131" t="s">
        <v>62</v>
      </c>
      <c r="B70" s="84" t="s">
        <v>12</v>
      </c>
      <c r="C70" s="116">
        <f>'[1]POOL-joueus'!$B$243</f>
        <v>23.252054794520546</v>
      </c>
      <c r="D70" s="113" t="str">
        <f>'[1]POOL-joueus'!$C$243</f>
        <v>Chi</v>
      </c>
      <c r="E70" s="114" t="str">
        <f>'[1]POOL-joueus'!$D$243</f>
        <v>Andrew Ladd</v>
      </c>
      <c r="F70" s="113">
        <f>('[1]POOL-joueus'!$E$243)-31</f>
        <v>33</v>
      </c>
      <c r="G70" s="113">
        <f>('[1]POOL-joueus'!$F$243)-6</f>
        <v>5</v>
      </c>
      <c r="H70" s="113">
        <f>('[1]POOL-joueus'!$G$243)-16</f>
        <v>11</v>
      </c>
      <c r="L70" s="126">
        <f t="shared" si="6"/>
        <v>16</v>
      </c>
      <c r="M70" t="s">
        <v>485</v>
      </c>
      <c r="N70" s="171" t="s">
        <v>12</v>
      </c>
      <c r="O70" s="109">
        <f>'[1]POOL-joueus'!$B$78</f>
        <v>27.753424657534246</v>
      </c>
      <c r="P70" s="109" t="str">
        <f>'[1]POOL-joueus'!$C$78</f>
        <v>T.B.</v>
      </c>
      <c r="Q70" s="111" t="str">
        <f>'[1]POOL-joueus'!$D$78</f>
        <v>Radim Vrbata</v>
      </c>
      <c r="R70" s="109">
        <v>18</v>
      </c>
      <c r="S70" s="109">
        <v>3</v>
      </c>
      <c r="T70" s="109">
        <v>3</v>
      </c>
      <c r="X70" s="126">
        <f t="shared" si="5"/>
        <v>6</v>
      </c>
    </row>
    <row r="71" spans="1:24" ht="12.75">
      <c r="A71" s="131" t="s">
        <v>65</v>
      </c>
      <c r="B71" s="84" t="s">
        <v>24</v>
      </c>
      <c r="C71" s="109">
        <f>'[1]POOL-joueus'!$B$440</f>
        <v>25.13150684931507</v>
      </c>
      <c r="D71" s="109" t="str">
        <f>'[1]POOL-joueus'!$C$440</f>
        <v>Tor</v>
      </c>
      <c r="E71" s="111" t="str">
        <f>'[1]POOL-joueus'!$D$440</f>
        <v>Jeremy Williams</v>
      </c>
      <c r="F71" s="109">
        <f>('[1]POOL-joueus'!$E$440)-7</f>
        <v>3</v>
      </c>
      <c r="G71" s="109">
        <f>('[1]POOL-joueus'!$F$440)-5</f>
        <v>0</v>
      </c>
      <c r="H71" s="109">
        <f>('[1]POOL-joueus'!$G$440)-2</f>
        <v>0</v>
      </c>
      <c r="L71" s="126">
        <f t="shared" si="6"/>
        <v>0</v>
      </c>
      <c r="M71" t="s">
        <v>486</v>
      </c>
      <c r="N71" s="171" t="s">
        <v>33</v>
      </c>
      <c r="O71" s="115">
        <f>'[1]POOL-joueus'!$B$193</f>
        <v>38.654794520547945</v>
      </c>
      <c r="P71" s="115" t="str">
        <f>'[1]POOL-joueus'!$C$193</f>
        <v>Dal</v>
      </c>
      <c r="Q71" s="154" t="str">
        <f>'[1]POOL-joueus'!$D$193</f>
        <v>Sergei Zubov</v>
      </c>
      <c r="R71" s="115">
        <v>10</v>
      </c>
      <c r="S71" s="115">
        <v>0</v>
      </c>
      <c r="T71" s="115">
        <v>4</v>
      </c>
      <c r="X71" s="126">
        <f t="shared" si="5"/>
        <v>4</v>
      </c>
    </row>
    <row r="72" spans="1:24" ht="12.75">
      <c r="A72" s="131" t="s">
        <v>39</v>
      </c>
      <c r="B72" s="84" t="s">
        <v>19</v>
      </c>
      <c r="C72" s="109">
        <f>'[1]POOL-joueus'!$B$804</f>
        <v>19.747945205479454</v>
      </c>
      <c r="D72" s="115" t="str">
        <f>'[1]POOL-joueus'!$C$804</f>
        <v>Mtl</v>
      </c>
      <c r="E72" s="154" t="str">
        <f>'[1]POOL-joueus'!$D$804</f>
        <v>Ryan Mcdonagh</v>
      </c>
      <c r="F72" s="115">
        <f>'[1]POOL-joueus'!$E$804</f>
        <v>0</v>
      </c>
      <c r="G72" s="115">
        <f>'[1]POOL-joueus'!$F$804</f>
        <v>0</v>
      </c>
      <c r="H72" s="115">
        <f>'[1]POOL-joueus'!$G$804</f>
        <v>0</v>
      </c>
      <c r="L72" s="126">
        <f t="shared" si="6"/>
        <v>0</v>
      </c>
      <c r="M72" t="s">
        <v>492</v>
      </c>
      <c r="N72" s="171" t="s">
        <v>12</v>
      </c>
      <c r="O72" s="116">
        <f>'[1]POOL-joueus'!$B$200</f>
        <v>24.912328767123288</v>
      </c>
      <c r="P72" s="116" t="str">
        <f>'[1]POOL-joueus'!$C$200</f>
        <v>Buf</v>
      </c>
      <c r="Q72" s="117" t="str">
        <f>'[1]POOL-joueus'!$D$200</f>
        <v>Dan Paille</v>
      </c>
      <c r="R72" s="116">
        <f>(('[1]POOL-joueus'!$E$200)-1)-32</f>
        <v>0</v>
      </c>
      <c r="S72" s="116">
        <f>(('[1]POOL-joueus'!$F$200))-4</f>
        <v>0</v>
      </c>
      <c r="T72" s="116">
        <f>(('[1]POOL-joueus'!$G$200))-8</f>
        <v>0</v>
      </c>
      <c r="X72" s="126">
        <f t="shared" si="5"/>
        <v>0</v>
      </c>
    </row>
    <row r="73" spans="1:24" ht="12.75">
      <c r="A73" s="131" t="s">
        <v>16</v>
      </c>
      <c r="B73" s="84" t="s">
        <v>19</v>
      </c>
      <c r="C73" s="116">
        <f>'[1]POOL-joueus'!$B$805</f>
        <v>20.46849315068493</v>
      </c>
      <c r="D73" s="113" t="str">
        <f>'[1]POOL-joueus'!$C$805</f>
        <v>Mtl</v>
      </c>
      <c r="E73" s="114" t="str">
        <f>'[1]POOL-joueus'!$D$805</f>
        <v>Yannick Weber</v>
      </c>
      <c r="F73" s="113">
        <f>'[1]POOL-joueus'!$E$805</f>
        <v>1</v>
      </c>
      <c r="G73" s="113">
        <f>'[1]POOL-joueus'!$F$805</f>
        <v>0</v>
      </c>
      <c r="H73" s="113">
        <f>'[1]POOL-joueus'!$G$805</f>
        <v>0</v>
      </c>
      <c r="L73" s="126">
        <f t="shared" si="6"/>
        <v>0</v>
      </c>
      <c r="M73" t="s">
        <v>493</v>
      </c>
      <c r="N73" s="171" t="s">
        <v>28</v>
      </c>
      <c r="O73" s="115">
        <f>'[1]Pool-gardien'!$B$69</f>
        <v>35.295890410958904</v>
      </c>
      <c r="P73" s="115" t="str">
        <f>'[1]Pool-gardien'!$C$69</f>
        <v>Cbj</v>
      </c>
      <c r="Q73" s="154" t="str">
        <f>'[1]Pool-gardien'!$D$69</f>
        <v>Frederik Norrena</v>
      </c>
      <c r="R73" s="115">
        <v>3</v>
      </c>
      <c r="S73" s="115">
        <v>1</v>
      </c>
      <c r="T73" s="115">
        <v>2</v>
      </c>
      <c r="U73" s="115">
        <v>0</v>
      </c>
      <c r="V73" s="115">
        <v>0</v>
      </c>
      <c r="W73" s="115">
        <v>0</v>
      </c>
      <c r="X73" s="30">
        <f>(S73*2)+T73+(U73*4)+(V73*10)+W73</f>
        <v>4</v>
      </c>
    </row>
    <row r="74" spans="1:24" ht="12.75">
      <c r="A74" s="131" t="s">
        <v>52</v>
      </c>
      <c r="B74" s="84" t="s">
        <v>12</v>
      </c>
      <c r="C74" s="109">
        <f>'[1]POOL-joueus'!$B$123</f>
        <v>40.14794520547945</v>
      </c>
      <c r="D74" s="109" t="str">
        <f>'[1]POOL-joueus'!$C$123</f>
        <v>N.J.</v>
      </c>
      <c r="E74" s="111" t="str">
        <f>'[1]POOL-joueus'!$D$123</f>
        <v>Brendan Shanahan</v>
      </c>
      <c r="F74" s="109">
        <f>'[1]POOL-joueus'!$E$123</f>
        <v>18</v>
      </c>
      <c r="G74" s="109">
        <f>'[1]POOL-joueus'!$F$123</f>
        <v>4</v>
      </c>
      <c r="H74" s="109">
        <f>'[1]POOL-joueus'!$G$123</f>
        <v>4</v>
      </c>
      <c r="I74" s="183"/>
      <c r="J74" s="183"/>
      <c r="K74" s="183"/>
      <c r="L74" s="126">
        <f t="shared" si="6"/>
        <v>8</v>
      </c>
      <c r="M74" t="s">
        <v>494</v>
      </c>
      <c r="N74" s="171" t="s">
        <v>12</v>
      </c>
      <c r="O74" s="109">
        <f>'[1]POOL-joueus'!$B$210</f>
        <v>28.92876712328767</v>
      </c>
      <c r="P74" s="109" t="str">
        <f>'[1]POOL-joueus'!$C$210</f>
        <v>NHL</v>
      </c>
      <c r="Q74" s="111" t="str">
        <f>'[1]POOL-joueus'!$D$210</f>
        <v>Sean Avery</v>
      </c>
      <c r="R74" s="109">
        <f>'[1]POOL-joueus'!$E$210</f>
        <v>23</v>
      </c>
      <c r="S74" s="109">
        <f>'[1]POOL-joueus'!$F$210</f>
        <v>3</v>
      </c>
      <c r="T74" s="109">
        <f>'[1]POOL-joueus'!$G$210</f>
        <v>7</v>
      </c>
      <c r="X74" s="126">
        <f t="shared" si="5"/>
        <v>10</v>
      </c>
    </row>
    <row r="75" spans="1:24" ht="12.75">
      <c r="A75" s="131" t="s">
        <v>16</v>
      </c>
      <c r="B75" s="84" t="s">
        <v>441</v>
      </c>
      <c r="C75" s="116">
        <f>'[1]Pool-gardien'!$B$131</f>
        <v>23.92876712328767</v>
      </c>
      <c r="D75" s="116" t="str">
        <f>'[1]Pool-gardien'!$C$131</f>
        <v>Ott</v>
      </c>
      <c r="E75" s="184" t="str">
        <f>'[1]Pool-gardien'!$D$131</f>
        <v>Brian Elliott</v>
      </c>
      <c r="F75" s="116">
        <f>('[1]Pool-gardien'!$E$131)-2</f>
        <v>18</v>
      </c>
      <c r="G75" s="116">
        <f>('[1]Pool-gardien'!$F$131)-1</f>
        <v>8</v>
      </c>
      <c r="H75" s="116">
        <f>('[1]Pool-gardien'!$G$131)-0</f>
        <v>3</v>
      </c>
      <c r="I75" s="116">
        <f>('[1]Pool-gardien'!$H$131)-0</f>
        <v>0</v>
      </c>
      <c r="J75" s="116">
        <f>('[1]Pool-gardien'!$I$131)-0</f>
        <v>0</v>
      </c>
      <c r="K75" s="116">
        <f>('[1]Pool-gardien'!$J$131)-0</f>
        <v>0</v>
      </c>
      <c r="L75" s="30">
        <f>(G75*2)+H75+(I75*4)+(J75*10)+K75</f>
        <v>19</v>
      </c>
      <c r="M75" t="s">
        <v>495</v>
      </c>
      <c r="N75" s="171" t="s">
        <v>12</v>
      </c>
      <c r="O75" s="116">
        <f>'[1]POOL-joueus'!$B$80</f>
        <v>30.517808219178082</v>
      </c>
      <c r="P75" s="116" t="str">
        <f>'[1]POOL-joueus'!$C$80</f>
        <v>Bos</v>
      </c>
      <c r="Q75" s="117" t="str">
        <f>'[1]POOL-joueus'!$D$80</f>
        <v>Marco Sturm</v>
      </c>
      <c r="R75" s="116">
        <v>19</v>
      </c>
      <c r="S75" s="116">
        <v>7</v>
      </c>
      <c r="T75" s="116">
        <v>6</v>
      </c>
      <c r="X75" s="126">
        <f t="shared" si="5"/>
        <v>13</v>
      </c>
    </row>
    <row r="76" spans="1:24" ht="12.75">
      <c r="A76" s="185" t="s">
        <v>27</v>
      </c>
      <c r="B76" s="171" t="s">
        <v>40</v>
      </c>
      <c r="C76" s="116">
        <f>'[1]POOL-joueus'!$B$188</f>
        <v>26.723287671232878</v>
      </c>
      <c r="D76" s="116" t="str">
        <f>'[1]POOL-joueus'!$C$188</f>
        <v>L.A.</v>
      </c>
      <c r="E76" s="117" t="str">
        <f>'[1]POOL-joueus'!$D$188</f>
        <v>Jarret Stoll</v>
      </c>
      <c r="F76" s="116">
        <f>('[1]POOL-joueus'!$E$188)-46</f>
        <v>19</v>
      </c>
      <c r="G76" s="116">
        <f>('[1]POOL-joueus'!$F$188)-10</f>
        <v>6</v>
      </c>
      <c r="H76" s="116">
        <f>('[1]POOL-joueus'!$G$188)-14</f>
        <v>8</v>
      </c>
      <c r="I76" s="186"/>
      <c r="J76" s="186"/>
      <c r="K76" s="187"/>
      <c r="L76" s="126">
        <f>G76+(H76-I76)</f>
        <v>14</v>
      </c>
      <c r="M76" t="s">
        <v>496</v>
      </c>
      <c r="N76" s="171" t="s">
        <v>12</v>
      </c>
      <c r="O76" s="109">
        <f>'[1]POOL-joueus'!$B$238</f>
        <v>29.87123287671233</v>
      </c>
      <c r="P76" s="109" t="str">
        <f>'[1]POOL-joueus'!$C$238</f>
        <v>Cbj</v>
      </c>
      <c r="Q76" s="111" t="str">
        <f>'[1]POOL-joueus'!$D$238</f>
        <v>Jason Chimera</v>
      </c>
      <c r="R76" s="109">
        <f>('[1]POOL-joueus'!$E$238)-26</f>
        <v>5</v>
      </c>
      <c r="S76" s="109">
        <f>('[1]POOL-joueus'!$F$238)-6</f>
        <v>1</v>
      </c>
      <c r="T76" s="109">
        <f>('[1]POOL-joueus'!$G$238)-11</f>
        <v>0</v>
      </c>
      <c r="X76" s="126">
        <f t="shared" si="5"/>
        <v>1</v>
      </c>
    </row>
    <row r="77" spans="1:24" ht="12.75">
      <c r="A77" s="185" t="s">
        <v>32</v>
      </c>
      <c r="B77" s="171" t="s">
        <v>93</v>
      </c>
      <c r="C77" s="113">
        <f>'[1]Pool-gardien'!$B$68</f>
        <v>22.01095890410959</v>
      </c>
      <c r="D77" s="113" t="str">
        <f>'[1]Pool-gardien'!$C$68</f>
        <v>Bos</v>
      </c>
      <c r="E77" s="114" t="str">
        <f>'[1]Pool-gardien'!$D$68</f>
        <v>Tuukka Rask</v>
      </c>
      <c r="F77" s="113">
        <f>('[1]Pool-gardien'!$E$68)-1</f>
        <v>0</v>
      </c>
      <c r="G77" s="113">
        <f>('[1]Pool-gardien'!$F$68)-1</f>
        <v>0</v>
      </c>
      <c r="H77" s="113">
        <f>('[1]Pool-gardien'!$G$68)-0</f>
        <v>0</v>
      </c>
      <c r="I77" s="113">
        <f>('[1]Pool-gardien'!$H$68)-1</f>
        <v>0</v>
      </c>
      <c r="J77" s="113">
        <f>('[1]Pool-gardien'!$I$68)-0</f>
        <v>0</v>
      </c>
      <c r="K77" s="113">
        <f>('[1]Pool-gardien'!$J$68)-0</f>
        <v>0</v>
      </c>
      <c r="L77" s="30">
        <f>(G77*2)+H77+(I77*4)+(J77*10)+K77</f>
        <v>0</v>
      </c>
      <c r="M77" t="s">
        <v>497</v>
      </c>
      <c r="N77" s="171" t="s">
        <v>28</v>
      </c>
      <c r="O77" s="116">
        <f>'[1]Pool-gardien'!$B$50</f>
        <v>29.443835616438356</v>
      </c>
      <c r="P77" s="133" t="str">
        <f>'[1]Pool-gardien'!$C$50</f>
        <v>Van</v>
      </c>
      <c r="Q77" s="153" t="str">
        <f>'[1]Pool-gardien'!$D$50</f>
        <v>Curtis Sanford</v>
      </c>
      <c r="R77" s="133">
        <v>14</v>
      </c>
      <c r="S77" s="133">
        <v>4</v>
      </c>
      <c r="T77" s="133">
        <f>(('[1]Pool-gardien'!$G$50)-0)-0</f>
        <v>0</v>
      </c>
      <c r="U77" s="133">
        <v>1</v>
      </c>
      <c r="V77" s="133">
        <f>(('[1]Pool-gardien'!$I$50)-0)-0</f>
        <v>0</v>
      </c>
      <c r="W77" s="133">
        <f>(('[1]Pool-gardien'!$J$50)-0)-0</f>
        <v>0</v>
      </c>
      <c r="X77" s="30">
        <f>(S77*2)+T77+(U77*4)+(V77*10)+W77</f>
        <v>12</v>
      </c>
    </row>
    <row r="78" spans="1:24" ht="12.75">
      <c r="A78" s="185" t="s">
        <v>62</v>
      </c>
      <c r="B78" s="171" t="s">
        <v>33</v>
      </c>
      <c r="C78" s="113">
        <f>'[1]POOL-joueus'!$B$422</f>
        <v>23.427397260273974</v>
      </c>
      <c r="D78" s="113" t="str">
        <f>'[1]POOL-joueus'!$C$422</f>
        <v>Ott</v>
      </c>
      <c r="E78" s="114" t="str">
        <f>'[1]POOL-joueus'!$D$422</f>
        <v>Alex Picard</v>
      </c>
      <c r="F78" s="113">
        <f>('[1]POOL-joueus'!$E$422)-45</f>
        <v>2</v>
      </c>
      <c r="G78" s="113">
        <f>('[1]POOL-joueus'!$F$422)-6</f>
        <v>0</v>
      </c>
      <c r="H78" s="113">
        <f>('[1]POOL-joueus'!$G$422)-8</f>
        <v>0</v>
      </c>
      <c r="L78" s="126">
        <f>G78+(H78-I78)</f>
        <v>0</v>
      </c>
      <c r="M78" t="s">
        <v>498</v>
      </c>
      <c r="N78" s="171" t="s">
        <v>33</v>
      </c>
      <c r="O78" s="109">
        <f>'[1]POOL-joueus'!$B$301</f>
        <v>29.912328767123288</v>
      </c>
      <c r="P78" s="109" t="str">
        <f>'[1]POOL-joueus'!$C$301</f>
        <v>Stl</v>
      </c>
      <c r="Q78" s="111" t="str">
        <f>'[1]POOL-joueus'!$D$301</f>
        <v>Eric Brewer</v>
      </c>
      <c r="R78" s="109">
        <v>28</v>
      </c>
      <c r="S78" s="109">
        <v>1</v>
      </c>
      <c r="T78" s="109">
        <v>5</v>
      </c>
      <c r="X78" s="126">
        <f t="shared" si="5"/>
        <v>6</v>
      </c>
    </row>
    <row r="79" spans="1:24" ht="12.75">
      <c r="A79" s="185" t="s">
        <v>62</v>
      </c>
      <c r="B79" s="188" t="s">
        <v>19</v>
      </c>
      <c r="C79" s="113">
        <f>'[1]POOL-joueus'!$B$628</f>
        <v>19.35890410958904</v>
      </c>
      <c r="D79" s="113" t="str">
        <f>'[1]POOL-joueus'!$C$628</f>
        <v>Tor</v>
      </c>
      <c r="E79" s="114" t="str">
        <f>'[1]POOL-joueus'!$D$628</f>
        <v>Luke Schenn</v>
      </c>
      <c r="F79" s="113">
        <f>('[1]POOL-joueus'!$E$628)-38</f>
        <v>16</v>
      </c>
      <c r="G79" s="113">
        <f>('[1]POOL-joueus'!$F$628)-0</f>
        <v>1</v>
      </c>
      <c r="H79" s="113">
        <f>('[1]POOL-joueus'!$G$628)-5</f>
        <v>0</v>
      </c>
      <c r="L79" s="126">
        <f>G79+(H79-I79)</f>
        <v>1</v>
      </c>
      <c r="M79" t="s">
        <v>498</v>
      </c>
      <c r="N79" s="113" t="s">
        <v>24</v>
      </c>
      <c r="O79" s="113">
        <f>'[1]POOL-joueus'!$B$434</f>
        <v>22.454794520547946</v>
      </c>
      <c r="P79" s="113" t="str">
        <f>'[1]POOL-joueus'!$C$434</f>
        <v>Min</v>
      </c>
      <c r="Q79" s="114" t="str">
        <f>'[1]POOL-joueus'!$D$434</f>
        <v>Benoit Pouliot</v>
      </c>
      <c r="R79" s="113">
        <v>31</v>
      </c>
      <c r="S79" s="113">
        <v>3</v>
      </c>
      <c r="T79" s="113">
        <v>5</v>
      </c>
      <c r="X79" s="126">
        <f t="shared" si="5"/>
        <v>8</v>
      </c>
    </row>
    <row r="80" spans="1:24" ht="12.75">
      <c r="A80" s="185" t="s">
        <v>45</v>
      </c>
      <c r="B80" s="113" t="s">
        <v>24</v>
      </c>
      <c r="C80" s="115">
        <f>'[1]POOL-joueus'!$B$507</f>
        <v>25.76164383561644</v>
      </c>
      <c r="D80" s="115" t="str">
        <f>'[1]POOL-joueus'!$C$507</f>
        <v>Det</v>
      </c>
      <c r="E80" s="154" t="str">
        <f>'[1]POOL-joueus'!$D$507</f>
        <v>Ville Leino</v>
      </c>
      <c r="F80" s="115">
        <f>('[1]POOL-joueus'!$E$507)-2</f>
        <v>11</v>
      </c>
      <c r="G80" s="115">
        <f>('[1]POOL-joueus'!$F$507)-1</f>
        <v>4</v>
      </c>
      <c r="H80" s="115">
        <f>('[1]POOL-joueus'!$G$507)-1</f>
        <v>3</v>
      </c>
      <c r="L80" s="126">
        <f>G80+(H80-I80)</f>
        <v>7</v>
      </c>
      <c r="M80" t="s">
        <v>499</v>
      </c>
      <c r="N80" s="171" t="s">
        <v>33</v>
      </c>
      <c r="O80" s="109">
        <f>'[1]POOL-joueus'!$B$773</f>
        <v>25.767123287671232</v>
      </c>
      <c r="P80" s="109" t="str">
        <f>'[1]POOL-joueus'!$C$773</f>
        <v>L.A.</v>
      </c>
      <c r="Q80" s="111" t="str">
        <f>'[1]POOL-joueus'!$D$773</f>
        <v>Peter Harrold</v>
      </c>
      <c r="R80" s="109">
        <v>41</v>
      </c>
      <c r="S80" s="109">
        <v>3</v>
      </c>
      <c r="T80" s="109">
        <v>8</v>
      </c>
      <c r="X80" s="126">
        <f t="shared" si="5"/>
        <v>11</v>
      </c>
    </row>
    <row r="81" spans="1:24" ht="12.75">
      <c r="A81" s="185" t="s">
        <v>62</v>
      </c>
      <c r="B81" s="188" t="s">
        <v>28</v>
      </c>
      <c r="C81" s="109">
        <f>'[1]Pool-gardien'!$B$33</f>
        <v>32.9041095890411</v>
      </c>
      <c r="D81" s="109" t="str">
        <f>'[1]Pool-gardien'!$C$33</f>
        <v>Stl</v>
      </c>
      <c r="E81" s="111" t="str">
        <f>'[1]Pool-gardien'!$D$33</f>
        <v>Chris Mason</v>
      </c>
      <c r="F81" s="109">
        <f>('[1]Pool-gardien'!$E$33)-27</f>
        <v>13</v>
      </c>
      <c r="G81" s="109">
        <f>('[1]Pool-gardien'!$F$33)-8</f>
        <v>7</v>
      </c>
      <c r="H81" s="109">
        <f>('[1]Pool-gardien'!$G$33)-3</f>
        <v>2</v>
      </c>
      <c r="I81" s="109">
        <f>('[1]Pool-gardien'!$H$33)-3</f>
        <v>1</v>
      </c>
      <c r="J81" s="109">
        <f>('[1]Pool-gardien'!$I$33)-0</f>
        <v>0</v>
      </c>
      <c r="K81" s="109">
        <f>('[1]Pool-gardien'!$J$33)-1</f>
        <v>0</v>
      </c>
      <c r="L81" s="30">
        <f>(G81*2)+H81+(I81*4)+(J81*10)+K81</f>
        <v>20</v>
      </c>
      <c r="M81" t="s">
        <v>500</v>
      </c>
      <c r="N81" s="113" t="s">
        <v>24</v>
      </c>
      <c r="O81" s="113">
        <f>'[1]POOL-joueus'!$B$424</f>
        <v>21.81917808219178</v>
      </c>
      <c r="P81" s="113" t="str">
        <f>'[1]POOL-joueus'!$C$424</f>
        <v>Chi</v>
      </c>
      <c r="Q81" s="114" t="str">
        <f>'[1]POOL-joueus'!$D$424</f>
        <v>Jack Skille</v>
      </c>
      <c r="R81" s="113">
        <v>6</v>
      </c>
      <c r="S81" s="113">
        <v>1</v>
      </c>
      <c r="T81" s="113">
        <v>0</v>
      </c>
      <c r="U81" s="189"/>
      <c r="V81" s="135"/>
      <c r="W81" s="135"/>
      <c r="X81" s="126">
        <f t="shared" si="5"/>
        <v>1</v>
      </c>
    </row>
    <row r="82" spans="1:24" ht="12.75">
      <c r="A82" s="185" t="s">
        <v>23</v>
      </c>
      <c r="B82" s="188" t="s">
        <v>12</v>
      </c>
      <c r="C82" s="116">
        <f>'[1]POOL-joueus'!$B$290</f>
        <v>27.26027397260274</v>
      </c>
      <c r="D82" s="116" t="str">
        <f>'[1]POOL-joueus'!$C$290</f>
        <v>Cgy</v>
      </c>
      <c r="E82" s="117" t="str">
        <f>'[1]POOL-joueus'!$D$290</f>
        <v>Rene Bourque</v>
      </c>
      <c r="F82" s="116">
        <f>('[1]POOL-joueus'!$E$290)-53</f>
        <v>5</v>
      </c>
      <c r="G82" s="116">
        <f>('[1]POOL-joueus'!$F$290)-18</f>
        <v>3</v>
      </c>
      <c r="H82" s="116">
        <f>('[1]POOL-joueus'!$G$290)-16</f>
        <v>3</v>
      </c>
      <c r="L82" s="126">
        <f>G82+(H82-I82)</f>
        <v>6</v>
      </c>
      <c r="M82" t="s">
        <v>501</v>
      </c>
      <c r="N82" s="171" t="s">
        <v>12</v>
      </c>
      <c r="O82" s="109">
        <f>'[1]POOL-joueus'!$B$100</f>
        <v>25.783561643835615</v>
      </c>
      <c r="P82" s="109" t="str">
        <f>'[1]POOL-joueus'!$C$100</f>
        <v>Mtl</v>
      </c>
      <c r="Q82" s="111" t="str">
        <f>'[1]POOL-joueus'!$D$100</f>
        <v>Chis Higgins</v>
      </c>
      <c r="R82" s="109">
        <v>29</v>
      </c>
      <c r="S82" s="109">
        <v>6</v>
      </c>
      <c r="T82" s="109">
        <v>5</v>
      </c>
      <c r="X82" s="126">
        <f t="shared" si="5"/>
        <v>11</v>
      </c>
    </row>
    <row r="83" spans="1:24" ht="12.75">
      <c r="A83" s="185" t="s">
        <v>27</v>
      </c>
      <c r="B83" s="188" t="s">
        <v>441</v>
      </c>
      <c r="C83" s="113">
        <f>'[1]Pool-gardien'!$B$126</f>
        <v>24.2</v>
      </c>
      <c r="D83" s="113" t="str">
        <f>'[1]Pool-gardien'!$C$126</f>
        <v>Chi</v>
      </c>
      <c r="E83" s="114" t="str">
        <f>'[1]Pool-gardien'!$D$126</f>
        <v>Corey Crawfort</v>
      </c>
      <c r="F83" s="113">
        <f>'[1]Pool-gardien'!$E$126</f>
        <v>0</v>
      </c>
      <c r="G83" s="113">
        <f>'[1]Pool-gardien'!$F$126</f>
        <v>0</v>
      </c>
      <c r="H83" s="113">
        <f>'[1]Pool-gardien'!$G$126</f>
        <v>0</v>
      </c>
      <c r="I83" s="113">
        <f>'[1]Pool-gardien'!$H$126</f>
        <v>0</v>
      </c>
      <c r="J83" s="113">
        <f>'[1]Pool-gardien'!$I$126</f>
        <v>0</v>
      </c>
      <c r="K83" s="113">
        <f>'[1]Pool-gardien'!$J$126</f>
        <v>0</v>
      </c>
      <c r="L83" s="30">
        <f>(G83*2)+H83+(I83*4)+(J83*10)+K83</f>
        <v>0</v>
      </c>
      <c r="M83" t="s">
        <v>502</v>
      </c>
      <c r="N83" s="84" t="s">
        <v>24</v>
      </c>
      <c r="O83" s="109">
        <f>'[1]POOL-joueus'!$B$440</f>
        <v>25.13150684931507</v>
      </c>
      <c r="P83" s="109" t="str">
        <f>'[1]POOL-joueus'!$C$440</f>
        <v>Tor</v>
      </c>
      <c r="Q83" s="111" t="str">
        <f>'[1]POOL-joueus'!$D$440</f>
        <v>Jeremy Williams</v>
      </c>
      <c r="R83" s="109">
        <v>0</v>
      </c>
      <c r="S83" s="109">
        <v>0</v>
      </c>
      <c r="T83" s="109">
        <v>0</v>
      </c>
      <c r="X83" s="126">
        <f t="shared" si="5"/>
        <v>0</v>
      </c>
    </row>
    <row r="84" spans="1:24" ht="12.75">
      <c r="A84" s="185" t="s">
        <v>27</v>
      </c>
      <c r="B84" s="188" t="s">
        <v>441</v>
      </c>
      <c r="C84" s="113">
        <f>'[1]Pool-gardien'!$B$127</f>
        <v>25.542465753424658</v>
      </c>
      <c r="D84" s="113" t="str">
        <f>'[1]Pool-gardien'!$C$127</f>
        <v>Chi</v>
      </c>
      <c r="E84" s="114" t="str">
        <f>'[1]Pool-gardien'!$D$127</f>
        <v>Antti Niemi</v>
      </c>
      <c r="F84" s="113">
        <f>'[1]Pool-gardien'!$E$127</f>
        <v>3</v>
      </c>
      <c r="G84" s="113">
        <f>'[1]Pool-gardien'!$F$127</f>
        <v>1</v>
      </c>
      <c r="H84" s="113">
        <f>'[1]Pool-gardien'!$G$127</f>
        <v>1</v>
      </c>
      <c r="I84" s="113">
        <f>'[1]Pool-gardien'!$H$127</f>
        <v>0</v>
      </c>
      <c r="J84" s="113">
        <f>'[1]Pool-gardien'!$I$127</f>
        <v>0</v>
      </c>
      <c r="K84" s="113">
        <f>'[1]Pool-gardien'!$J$127</f>
        <v>0</v>
      </c>
      <c r="L84" s="30">
        <f>(G84*2)+H84+(I84*4)+(J84*10)+K84</f>
        <v>3</v>
      </c>
      <c r="M84" t="s">
        <v>502</v>
      </c>
      <c r="N84" s="171" t="s">
        <v>33</v>
      </c>
      <c r="O84" s="113">
        <f>'[1]POOL-joueus'!$B$231</f>
        <v>27.643835616438356</v>
      </c>
      <c r="P84" s="113" t="str">
        <f>'[1]POOL-joueus'!$C$231</f>
        <v>Phi</v>
      </c>
      <c r="Q84" s="114" t="str">
        <f>'[1]POOL-joueus'!$D$231</f>
        <v>Randy Jones</v>
      </c>
      <c r="R84" s="116">
        <v>4</v>
      </c>
      <c r="S84" s="116">
        <v>0</v>
      </c>
      <c r="T84" s="116">
        <v>0</v>
      </c>
      <c r="X84" s="126">
        <f t="shared" si="5"/>
        <v>0</v>
      </c>
    </row>
  </sheetData>
  <autoFilter ref="A8:M60"/>
  <mergeCells count="2">
    <mergeCell ref="A7:M7"/>
    <mergeCell ref="N7:X7"/>
  </mergeCells>
  <printOptions/>
  <pageMargins left="0.75" right="0.75" top="1" bottom="1" header="0.4921259845" footer="0.4921259845"/>
  <pageSetup horizontalDpi="200" verticalDpi="200" orientation="portrait" paperSize="9" r:id="rId2"/>
  <ignoredErrors>
    <ignoredError sqref="X4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T18"/>
  <sheetViews>
    <sheetView workbookViewId="0" topLeftCell="A1">
      <selection activeCell="F14" sqref="F14"/>
    </sheetView>
  </sheetViews>
  <sheetFormatPr defaultColWidth="11.421875" defaultRowHeight="12.75"/>
  <cols>
    <col min="1" max="1" width="3.421875" style="0" customWidth="1"/>
    <col min="2" max="2" width="5.421875" style="0" customWidth="1"/>
    <col min="3" max="3" width="6.00390625" style="0" customWidth="1"/>
    <col min="4" max="4" width="15.421875" style="0" customWidth="1"/>
    <col min="5" max="5" width="4.140625" style="0" customWidth="1"/>
    <col min="6" max="6" width="5.7109375" style="0" customWidth="1"/>
    <col min="7" max="7" width="5.00390625" style="0" customWidth="1"/>
    <col min="8" max="8" width="5.421875" style="0" customWidth="1"/>
    <col min="9" max="9" width="5.00390625" style="0" customWidth="1"/>
    <col min="10" max="10" width="5.7109375" style="0" customWidth="1"/>
    <col min="11" max="11" width="5.140625" style="0" customWidth="1"/>
    <col min="12" max="12" width="2.140625" style="0" customWidth="1"/>
    <col min="13" max="13" width="3.421875" style="0" customWidth="1"/>
    <col min="14" max="14" width="5.57421875" style="0" customWidth="1"/>
    <col min="15" max="15" width="4.28125" style="0" customWidth="1"/>
    <col min="16" max="16" width="16.421875" style="0" customWidth="1"/>
    <col min="17" max="17" width="5.00390625" style="0" customWidth="1"/>
    <col min="18" max="19" width="5.140625" style="0" customWidth="1"/>
  </cols>
  <sheetData>
    <row r="8" ht="13.5" thickBot="1"/>
    <row r="9" spans="1:20" ht="12.75">
      <c r="A9" s="196" t="s">
        <v>491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8"/>
    </row>
    <row r="10" spans="1:20" ht="12.75">
      <c r="A10" s="17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177"/>
    </row>
    <row r="11" spans="1:20" ht="12.75">
      <c r="A11" s="176" t="s">
        <v>487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 t="s">
        <v>489</v>
      </c>
      <c r="N11" s="56"/>
      <c r="O11" s="56"/>
      <c r="P11" s="56"/>
      <c r="Q11" s="56"/>
      <c r="R11" s="56"/>
      <c r="S11" s="56"/>
      <c r="T11" s="177"/>
    </row>
    <row r="12" spans="1:20" ht="12.75">
      <c r="A12" s="178" t="s">
        <v>28</v>
      </c>
      <c r="B12" s="109">
        <f>'[1]Pool-gardien'!$B$69</f>
        <v>35.295890410958904</v>
      </c>
      <c r="C12" s="109" t="str">
        <f>'[1]Pool-gardien'!$C$69</f>
        <v>Cbj</v>
      </c>
      <c r="D12" s="111" t="str">
        <f>'[1]Pool-gardien'!$D$69</f>
        <v>Frederik Norrena</v>
      </c>
      <c r="E12" s="109">
        <f>(('[1]Pool-gardien'!$E$69)-3)-5</f>
        <v>0</v>
      </c>
      <c r="F12" s="109">
        <f>(('[1]Pool-gardien'!$F$69)-1)-0</f>
        <v>0</v>
      </c>
      <c r="G12" s="109">
        <f>(('[1]Pool-gardien'!$G$69)-2)-0</f>
        <v>0</v>
      </c>
      <c r="H12" s="109">
        <f>(('[1]Pool-gardien'!$H$69)-0)-0</f>
        <v>0</v>
      </c>
      <c r="I12" s="109">
        <f>(('[1]Pool-gardien'!$I$69)-0)-0</f>
        <v>0</v>
      </c>
      <c r="J12" s="109">
        <f>(('[1]Pool-gardien'!$J$69)-0)-0</f>
        <v>0</v>
      </c>
      <c r="K12" s="174">
        <f>(F12*2)+G12+(H12*4)+(I12*10)+J12</f>
        <v>0</v>
      </c>
      <c r="L12" s="56"/>
      <c r="M12" s="30" t="s">
        <v>12</v>
      </c>
      <c r="N12" s="109">
        <f>'[1]POOL-joueus'!$B$132</f>
        <v>26.90684931506849</v>
      </c>
      <c r="O12" s="109" t="str">
        <f>'[1]POOL-joueus'!$C$132</f>
        <v>Phi</v>
      </c>
      <c r="P12" s="111" t="str">
        <f>'[1]POOL-joueus'!$D$132</f>
        <v>Scott Hartnell</v>
      </c>
      <c r="Q12" s="109">
        <f>('[1]POOL-joueus'!$E$132)-35</f>
        <v>29</v>
      </c>
      <c r="R12" s="109">
        <f>('[1]POOL-joueus'!$F$132)-13</f>
        <v>9</v>
      </c>
      <c r="S12" s="173">
        <f>('[1]POOL-joueus'!$G$132)-14</f>
        <v>10</v>
      </c>
      <c r="T12" s="177"/>
    </row>
    <row r="13" spans="1:20" ht="12.75">
      <c r="A13" s="178" t="s">
        <v>12</v>
      </c>
      <c r="B13" s="116">
        <f>'[1]POOL-joueus'!$B$166</f>
        <v>26.106849315068494</v>
      </c>
      <c r="C13" s="116" t="str">
        <f>'[1]POOL-joueus'!$C$166</f>
        <v>Tor</v>
      </c>
      <c r="D13" s="117" t="str">
        <f>'[1]POOL-joueus'!$D$166</f>
        <v>Lee Stempniak</v>
      </c>
      <c r="E13" s="116">
        <f>(('[1]POOL-joueus'!$E$166)-10)-19</f>
        <v>31</v>
      </c>
      <c r="F13" s="116">
        <f>(('[1]POOL-joueus'!$F$166)-2)-3</f>
        <v>6</v>
      </c>
      <c r="G13" s="173">
        <f>(('[1]POOL-joueus'!$G$166)-6)-9</f>
        <v>9</v>
      </c>
      <c r="H13" s="56"/>
      <c r="I13" s="56"/>
      <c r="J13" s="56"/>
      <c r="K13" s="56"/>
      <c r="L13" s="56"/>
      <c r="M13" s="30" t="s">
        <v>33</v>
      </c>
      <c r="N13" s="115">
        <f>'[1]POOL-joueus'!$B$285</f>
        <v>32.515068493150686</v>
      </c>
      <c r="O13" s="115" t="str">
        <f>'[1]POOL-joueus'!$C$285</f>
        <v>Van</v>
      </c>
      <c r="P13" s="154" t="str">
        <f>'[1]POOL-joueus'!$D$285</f>
        <v>Mattias Ohlund</v>
      </c>
      <c r="Q13" s="115">
        <f>(('[1]POOL-joueus'!$E$285)-16)-20</f>
        <v>28</v>
      </c>
      <c r="R13" s="115">
        <f>(('[1]POOL-joueus'!$F$285)-1)-1</f>
        <v>2</v>
      </c>
      <c r="S13" s="175">
        <f>(('[1]POOL-joueus'!$G$285)-7)-3</f>
        <v>7</v>
      </c>
      <c r="T13" s="177"/>
    </row>
    <row r="14" spans="1:20" ht="12.75">
      <c r="A14" s="178" t="s">
        <v>33</v>
      </c>
      <c r="B14" s="109">
        <f>'[1]POOL-joueus'!$B$226</f>
        <v>25.663013698630138</v>
      </c>
      <c r="C14" s="109" t="str">
        <f>'[1]POOL-joueus'!$C$226</f>
        <v>Chi</v>
      </c>
      <c r="D14" s="111" t="str">
        <f>'[1]POOL-joueus'!$D$226</f>
        <v>Duncan Keith</v>
      </c>
      <c r="E14" s="109">
        <f>(('[1]POOL-joueus'!$E$226)-5)-27</f>
        <v>28</v>
      </c>
      <c r="F14" s="109">
        <f>(('[1]POOL-joueus'!$F$226)-2)-2</f>
        <v>4</v>
      </c>
      <c r="G14" s="173">
        <f>(('[1]POOL-joueus'!$G$226)-6)-7</f>
        <v>12</v>
      </c>
      <c r="H14" s="56"/>
      <c r="I14" s="56"/>
      <c r="J14" s="56"/>
      <c r="K14" s="56"/>
      <c r="L14" s="56"/>
      <c r="M14" s="30" t="s">
        <v>40</v>
      </c>
      <c r="N14" s="116">
        <f>'[1]POOL-joueus'!$B$76</f>
        <v>38.778082191780825</v>
      </c>
      <c r="O14" s="116" t="str">
        <f>'[1]POOL-joueus'!$C$76</f>
        <v>Dal</v>
      </c>
      <c r="P14" s="117" t="str">
        <f>'[1]POOL-joueus'!$D$76</f>
        <v>Mike Modano</v>
      </c>
      <c r="Q14" s="116">
        <f>(('[1]POOL-joueus'!$E$76)-9)-24</f>
        <v>32</v>
      </c>
      <c r="R14" s="116">
        <f>(('[1]POOL-joueus'!$F$76)-4)-7</f>
        <v>4</v>
      </c>
      <c r="S14" s="173">
        <f>(('[1]POOL-joueus'!$G$76)-6)-5</f>
        <v>15</v>
      </c>
      <c r="T14" s="177"/>
    </row>
    <row r="15" spans="1:20" ht="12.75">
      <c r="A15" s="178" t="s">
        <v>40</v>
      </c>
      <c r="B15" s="116">
        <f>'[1]POOL-joueus'!$B$216</f>
        <v>25.235616438356164</v>
      </c>
      <c r="C15" s="116" t="str">
        <f>'[1]POOL-joueus'!$C$216</f>
        <v>Tor</v>
      </c>
      <c r="D15" s="117" t="str">
        <f>'[1]POOL-joueus'!$D$216</f>
        <v>Matt Stajan</v>
      </c>
      <c r="E15" s="116">
        <f>((('[1]POOL-joueus'!$E$216)-15)-7)-12</f>
        <v>26</v>
      </c>
      <c r="F15" s="116">
        <f>((('[1]POOL-joueus'!$F$216)-5)-1)-3</f>
        <v>5</v>
      </c>
      <c r="G15" s="173">
        <f>((('[1]POOL-joueus'!$G$216)-12)-2)-7</f>
        <v>11</v>
      </c>
      <c r="H15" s="56"/>
      <c r="I15" s="56"/>
      <c r="J15" s="56"/>
      <c r="K15" s="56"/>
      <c r="L15" s="56"/>
      <c r="M15" s="30" t="s">
        <v>33</v>
      </c>
      <c r="N15" s="116">
        <f>'[1]POOL-joueus'!$B$311</f>
        <v>26.2986301369863</v>
      </c>
      <c r="O15" s="116" t="str">
        <f>'[1]POOL-joueus'!$C$311</f>
        <v>Fla</v>
      </c>
      <c r="P15" s="117" t="str">
        <f>'[1]POOL-joueus'!$D$311</f>
        <v>Keith Ballard</v>
      </c>
      <c r="Q15" s="116">
        <f>(('[1]POOL-joueus'!$E$311)-5)-29</f>
        <v>32</v>
      </c>
      <c r="R15" s="116">
        <f>(('[1]POOL-joueus'!$F$311)-1)-3</f>
        <v>1</v>
      </c>
      <c r="S15" s="116">
        <f>(('[1]POOL-joueus'!$G$311)-4)-6</f>
        <v>13</v>
      </c>
      <c r="T15" s="177"/>
    </row>
    <row r="16" spans="1:20" ht="12.75">
      <c r="A16" s="17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 t="s">
        <v>490</v>
      </c>
      <c r="O16" s="56"/>
      <c r="P16" s="56"/>
      <c r="Q16" s="56"/>
      <c r="R16" s="56"/>
      <c r="S16" s="56"/>
      <c r="T16" s="177"/>
    </row>
    <row r="17" spans="1:20" ht="12.75">
      <c r="A17" s="17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177"/>
    </row>
    <row r="18" spans="1:20" ht="13.5" thickBot="1">
      <c r="A18" s="179"/>
      <c r="B18" s="180"/>
      <c r="C18" s="180"/>
      <c r="D18" s="180" t="s">
        <v>488</v>
      </c>
      <c r="E18" s="182">
        <f>K12+G13+G14+G15</f>
        <v>32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 t="s">
        <v>488</v>
      </c>
      <c r="Q18" s="182">
        <f>S12+S13+S14+S15</f>
        <v>45</v>
      </c>
      <c r="R18" s="180"/>
      <c r="S18" s="180"/>
      <c r="T18" s="181"/>
    </row>
  </sheetData>
  <mergeCells count="1">
    <mergeCell ref="A9:T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B.</dc:creator>
  <cp:keywords/>
  <dc:description/>
  <cp:lastModifiedBy>Johnny B.</cp:lastModifiedBy>
  <dcterms:created xsi:type="dcterms:W3CDTF">2008-09-28T14:23:11Z</dcterms:created>
  <dcterms:modified xsi:type="dcterms:W3CDTF">2009-03-09T02:38:01Z</dcterms:modified>
  <cp:category/>
  <cp:version/>
  <cp:contentType/>
  <cp:contentStatus/>
</cp:coreProperties>
</file>