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560" tabRatio="717" firstSheet="3" activeTab="3"/>
  </bookViews>
  <sheets>
    <sheet name="TD1 CA vente" sheetId="5" r:id="rId1"/>
    <sheet name="TD1 Marge vente" sheetId="6" r:id="rId2"/>
    <sheet name="TD1 marge situation" sheetId="7" r:id="rId3"/>
    <sheet name="TD1 situation" sheetId="2" r:id="rId4"/>
    <sheet name="TD2 Marge vente flash" sheetId="1" r:id="rId5"/>
    <sheet name="TD2 CD production" sheetId="3" r:id="rId6"/>
    <sheet name="TD2 CI production" sheetId="4" r:id="rId7"/>
    <sheet name="partiel2013" sheetId="8" r:id="rId8"/>
    <sheet name="entrainement partiel 2013" sheetId="9" r:id="rId9"/>
    <sheet name="Feuil1" sheetId="10" r:id="rId10"/>
  </sheets>
  <definedNames>
    <definedName name="_xlnm.Print_Area" localSheetId="8">'entrainement partiel 2013'!$A$1:$R$73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1" i="3" l="1"/>
  <c r="M50" i="3"/>
  <c r="M49" i="3"/>
  <c r="M48" i="3"/>
  <c r="I51" i="3"/>
  <c r="I50" i="3"/>
  <c r="I49" i="3"/>
  <c r="I48" i="3"/>
  <c r="I68" i="3"/>
  <c r="I67" i="3"/>
  <c r="I66" i="3"/>
  <c r="I65" i="3"/>
  <c r="E90" i="3"/>
  <c r="B92" i="3"/>
  <c r="B91" i="3"/>
  <c r="B90" i="3"/>
  <c r="B89" i="3"/>
  <c r="E84" i="3"/>
  <c r="E85" i="3"/>
  <c r="E86" i="3"/>
  <c r="E79" i="3"/>
  <c r="E80" i="3"/>
  <c r="E78" i="3"/>
  <c r="H73" i="3"/>
  <c r="O66" i="3"/>
  <c r="L39" i="7"/>
  <c r="F39" i="7"/>
  <c r="N12" i="2"/>
  <c r="N11" i="2"/>
  <c r="N10" i="2"/>
  <c r="M12" i="2"/>
  <c r="M11" i="2"/>
  <c r="M10" i="2"/>
  <c r="L12" i="2"/>
  <c r="L11" i="2"/>
  <c r="L10" i="2"/>
  <c r="K12" i="2"/>
  <c r="K11" i="2"/>
  <c r="K10" i="2"/>
  <c r="M39" i="7"/>
  <c r="M41" i="7"/>
  <c r="M38" i="7"/>
  <c r="M37" i="7"/>
  <c r="M36" i="7"/>
  <c r="J11" i="7"/>
  <c r="H39" i="7"/>
  <c r="B39" i="7"/>
  <c r="C39" i="7"/>
  <c r="D39" i="7"/>
  <c r="F38" i="7"/>
  <c r="F36" i="7"/>
  <c r="F37" i="7"/>
  <c r="I83" i="6"/>
  <c r="I82" i="6"/>
  <c r="O25" i="6"/>
  <c r="O24" i="6"/>
  <c r="O23" i="6"/>
  <c r="L16" i="6"/>
  <c r="K58" i="6"/>
  <c r="K57" i="6"/>
  <c r="H58" i="6"/>
  <c r="H57" i="6"/>
  <c r="J32" i="6"/>
  <c r="J31" i="6"/>
  <c r="I33" i="6"/>
  <c r="H32" i="6"/>
  <c r="H31" i="6"/>
  <c r="G32" i="6"/>
  <c r="G31" i="6"/>
  <c r="F33" i="6"/>
  <c r="F32" i="6"/>
  <c r="F31" i="6"/>
  <c r="G33" i="6"/>
  <c r="H33" i="6"/>
  <c r="J33" i="6"/>
  <c r="K33" i="6"/>
  <c r="K32" i="6"/>
  <c r="K31" i="6"/>
  <c r="P25" i="6"/>
  <c r="N25" i="6"/>
  <c r="N24" i="6"/>
  <c r="N23" i="6"/>
  <c r="M24" i="6"/>
  <c r="M23" i="6"/>
  <c r="I25" i="6"/>
  <c r="L24" i="6"/>
  <c r="L23" i="6"/>
  <c r="G25" i="6"/>
  <c r="G24" i="6"/>
  <c r="G23" i="6"/>
  <c r="F24" i="6"/>
  <c r="F23" i="6"/>
  <c r="B25" i="6"/>
  <c r="E24" i="6"/>
  <c r="E23" i="6"/>
  <c r="S19" i="6"/>
  <c r="T16" i="6"/>
  <c r="T15" i="6"/>
  <c r="T14" i="6"/>
  <c r="T13" i="6"/>
  <c r="P16" i="6"/>
  <c r="Q16" i="6"/>
  <c r="Q15" i="6"/>
  <c r="Q14" i="6"/>
  <c r="Q13" i="6"/>
  <c r="S15" i="6"/>
  <c r="S14" i="6"/>
  <c r="S13" i="6"/>
  <c r="R15" i="6"/>
  <c r="R14" i="6"/>
  <c r="R13" i="6"/>
  <c r="E16" i="6"/>
  <c r="B16" i="6"/>
  <c r="P15" i="6"/>
  <c r="P14" i="6"/>
  <c r="P13" i="6"/>
  <c r="O15" i="6"/>
  <c r="O14" i="6"/>
  <c r="O13" i="6"/>
  <c r="N15" i="6"/>
  <c r="N14" i="6"/>
  <c r="N13" i="6"/>
  <c r="M15" i="6"/>
  <c r="M14" i="6"/>
  <c r="M13" i="6"/>
  <c r="L15" i="6"/>
  <c r="L14" i="6"/>
  <c r="L13" i="6"/>
  <c r="K80" i="5"/>
  <c r="K79" i="5"/>
  <c r="K78" i="5"/>
  <c r="K77" i="5"/>
  <c r="J138" i="4"/>
  <c r="E132" i="4"/>
  <c r="G136" i="4"/>
  <c r="F134" i="4"/>
  <c r="J130" i="4"/>
  <c r="J129" i="4"/>
  <c r="J128" i="4"/>
  <c r="J125" i="4"/>
  <c r="J124" i="4"/>
  <c r="J123" i="4"/>
  <c r="K117" i="4"/>
  <c r="K118" i="4"/>
  <c r="K119" i="4"/>
  <c r="F117" i="4"/>
  <c r="F118" i="4"/>
  <c r="F119" i="4"/>
  <c r="D110" i="4"/>
  <c r="D111" i="4"/>
  <c r="D113" i="4"/>
  <c r="G110" i="4"/>
  <c r="G111" i="4"/>
  <c r="G112" i="4"/>
  <c r="G113" i="4"/>
  <c r="H113" i="4"/>
  <c r="H112" i="4"/>
  <c r="H111" i="4"/>
  <c r="H110" i="4"/>
  <c r="F113" i="4"/>
  <c r="C113" i="4"/>
  <c r="M98" i="4"/>
  <c r="M99" i="4"/>
  <c r="M100" i="4"/>
  <c r="M101" i="4"/>
  <c r="G94" i="4"/>
  <c r="G92" i="4"/>
  <c r="H86" i="4"/>
  <c r="H85" i="4"/>
  <c r="H84" i="4"/>
  <c r="H83" i="4"/>
  <c r="D86" i="4"/>
  <c r="D85" i="4"/>
  <c r="D84" i="4"/>
  <c r="H163" i="4"/>
  <c r="H158" i="4"/>
  <c r="H159" i="4"/>
  <c r="H153" i="4"/>
  <c r="H155" i="4"/>
  <c r="F146" i="4"/>
  <c r="F147" i="4"/>
  <c r="F148" i="4"/>
  <c r="F141" i="4"/>
  <c r="F142" i="4"/>
  <c r="F143" i="4"/>
  <c r="J82" i="5"/>
  <c r="H82" i="5"/>
  <c r="H81" i="5"/>
  <c r="H80" i="5"/>
  <c r="H79" i="5"/>
  <c r="G77" i="5"/>
  <c r="H76" i="5"/>
  <c r="I73" i="5"/>
  <c r="J70" i="5"/>
  <c r="I70" i="5"/>
  <c r="M69" i="5"/>
  <c r="M68" i="5"/>
  <c r="M67" i="5"/>
  <c r="L69" i="5"/>
  <c r="L68" i="5"/>
  <c r="L67" i="5"/>
  <c r="H70" i="5"/>
  <c r="E70" i="5"/>
  <c r="B70" i="5"/>
  <c r="H31" i="10"/>
  <c r="K27" i="10"/>
  <c r="E31" i="10"/>
  <c r="K30" i="10"/>
  <c r="P29" i="10"/>
  <c r="O29" i="10"/>
  <c r="N29" i="10"/>
  <c r="M29" i="10"/>
  <c r="L29" i="10"/>
  <c r="K29" i="10"/>
  <c r="P28" i="10"/>
  <c r="O28" i="10"/>
  <c r="N28" i="10"/>
  <c r="M28" i="10"/>
  <c r="L28" i="10"/>
  <c r="K28" i="10"/>
  <c r="P27" i="10"/>
  <c r="O27" i="10"/>
  <c r="N27" i="10"/>
  <c r="M27" i="10"/>
  <c r="L27" i="10"/>
  <c r="H67" i="5"/>
  <c r="K92" i="2"/>
  <c r="J89" i="2"/>
  <c r="N74" i="2"/>
  <c r="N72" i="2"/>
  <c r="J87" i="2"/>
  <c r="J82" i="2"/>
  <c r="L81" i="2"/>
  <c r="M76" i="2"/>
  <c r="M68" i="2"/>
  <c r="M75" i="2"/>
  <c r="M74" i="2"/>
  <c r="M67" i="2"/>
  <c r="M66" i="2"/>
  <c r="L72" i="2"/>
  <c r="L73" i="2"/>
  <c r="L74" i="2"/>
  <c r="L76" i="2"/>
  <c r="K72" i="2"/>
  <c r="K73" i="2"/>
  <c r="K74" i="2"/>
  <c r="K76" i="2"/>
  <c r="J72" i="2"/>
  <c r="J73" i="2"/>
  <c r="J74" i="2"/>
  <c r="J76" i="2"/>
  <c r="M72" i="2"/>
  <c r="L75" i="2"/>
  <c r="K75" i="2"/>
  <c r="J75" i="2"/>
  <c r="M73" i="2"/>
  <c r="L68" i="2"/>
  <c r="K68" i="2"/>
  <c r="L67" i="2"/>
  <c r="K67" i="2"/>
  <c r="L66" i="2"/>
  <c r="K66" i="2"/>
  <c r="L65" i="2"/>
  <c r="K65" i="2"/>
  <c r="M64" i="2"/>
  <c r="M65" i="2"/>
  <c r="J68" i="2"/>
  <c r="J67" i="2"/>
  <c r="J66" i="2"/>
  <c r="J65" i="2"/>
  <c r="L64" i="2"/>
  <c r="K64" i="2"/>
  <c r="J64" i="2"/>
  <c r="E73" i="2"/>
  <c r="G73" i="2"/>
  <c r="E74" i="2"/>
  <c r="G74" i="2"/>
  <c r="E75" i="2"/>
  <c r="G75" i="2"/>
  <c r="G76" i="2"/>
  <c r="B76" i="2"/>
  <c r="F75" i="2"/>
  <c r="F74" i="2"/>
  <c r="F73" i="2"/>
  <c r="E65" i="2"/>
  <c r="G65" i="2"/>
  <c r="E66" i="2"/>
  <c r="G66" i="2"/>
  <c r="E67" i="2"/>
  <c r="G67" i="2"/>
  <c r="G68" i="2"/>
  <c r="B68" i="2"/>
  <c r="F67" i="2"/>
  <c r="F66" i="2"/>
  <c r="F65" i="2"/>
  <c r="K15" i="6"/>
  <c r="K14" i="6"/>
  <c r="K13" i="6"/>
  <c r="J15" i="6"/>
  <c r="J14" i="6"/>
  <c r="J13" i="6"/>
  <c r="J69" i="5"/>
  <c r="J68" i="5"/>
  <c r="J67" i="5"/>
  <c r="I69" i="5"/>
  <c r="I68" i="5"/>
  <c r="I67" i="5"/>
  <c r="H69" i="5"/>
  <c r="H68" i="5"/>
  <c r="J35" i="5"/>
  <c r="D52" i="8"/>
  <c r="J52" i="8"/>
  <c r="J52" i="9"/>
  <c r="P52" i="9"/>
  <c r="J51" i="9"/>
  <c r="P51" i="9"/>
  <c r="J50" i="9"/>
  <c r="P50" i="9"/>
  <c r="D52" i="9"/>
  <c r="E25" i="9"/>
  <c r="E26" i="9"/>
  <c r="B27" i="9"/>
  <c r="E31" i="9"/>
  <c r="H13" i="9"/>
  <c r="K12" i="9"/>
  <c r="B13" i="9"/>
  <c r="E12" i="9"/>
  <c r="R12" i="9"/>
  <c r="K11" i="9"/>
  <c r="E11" i="9"/>
  <c r="R11" i="9"/>
  <c r="N65" i="9"/>
  <c r="O57" i="9"/>
  <c r="O59" i="9"/>
  <c r="O63" i="9"/>
  <c r="B56" i="9"/>
  <c r="O52" i="9"/>
  <c r="H52" i="9"/>
  <c r="O51" i="9"/>
  <c r="H51" i="9"/>
  <c r="D51" i="9"/>
  <c r="O50" i="9"/>
  <c r="O53" i="9"/>
  <c r="H50" i="9"/>
  <c r="H53" i="9"/>
  <c r="D50" i="9"/>
  <c r="H39" i="9"/>
  <c r="D39" i="9"/>
  <c r="B39" i="9"/>
  <c r="J38" i="9"/>
  <c r="J37" i="9"/>
  <c r="J39" i="9"/>
  <c r="E38" i="9"/>
  <c r="C38" i="9"/>
  <c r="R37" i="9"/>
  <c r="K37" i="9"/>
  <c r="N37" i="9"/>
  <c r="I37" i="9"/>
  <c r="E37" i="9"/>
  <c r="C37" i="9"/>
  <c r="K32" i="9"/>
  <c r="L32" i="9"/>
  <c r="K31" i="9"/>
  <c r="L31" i="9"/>
  <c r="H27" i="9"/>
  <c r="F26" i="9"/>
  <c r="L26" i="9"/>
  <c r="K26" i="9"/>
  <c r="M26" i="9"/>
  <c r="L25" i="9"/>
  <c r="K25" i="9"/>
  <c r="M25" i="9"/>
  <c r="F25" i="9"/>
  <c r="G25" i="9"/>
  <c r="E15" i="9"/>
  <c r="G15" i="9"/>
  <c r="P12" i="9"/>
  <c r="O12" i="9"/>
  <c r="J12" i="9"/>
  <c r="D12" i="9"/>
  <c r="P11" i="9"/>
  <c r="O11" i="9"/>
  <c r="O13" i="9"/>
  <c r="J11" i="9"/>
  <c r="J13" i="9"/>
  <c r="D11" i="9"/>
  <c r="D13" i="9"/>
  <c r="R6" i="9"/>
  <c r="R37" i="8"/>
  <c r="Q52" i="9"/>
  <c r="D53" i="9"/>
  <c r="C53" i="9"/>
  <c r="H56" i="9"/>
  <c r="L50" i="9"/>
  <c r="C39" i="9"/>
  <c r="Q39" i="9"/>
  <c r="Q26" i="9"/>
  <c r="Q25" i="9"/>
  <c r="G31" i="9"/>
  <c r="O25" i="9"/>
  <c r="R25" i="9"/>
  <c r="R26" i="9"/>
  <c r="P13" i="9"/>
  <c r="S12" i="9"/>
  <c r="S13" i="9"/>
  <c r="N12" i="9"/>
  <c r="Q27" i="9"/>
  <c r="M27" i="9"/>
  <c r="N25" i="9"/>
  <c r="N13" i="9"/>
  <c r="P53" i="9"/>
  <c r="Q51" i="9"/>
  <c r="N39" i="9"/>
  <c r="I39" i="9"/>
  <c r="I53" i="9"/>
  <c r="G53" i="9"/>
  <c r="Q53" i="9"/>
  <c r="N11" i="9"/>
  <c r="Q12" i="9"/>
  <c r="T12" i="9"/>
  <c r="S6" i="9"/>
  <c r="R13" i="9"/>
  <c r="Q11" i="9"/>
  <c r="S11" i="9"/>
  <c r="P25" i="9"/>
  <c r="S25" i="9"/>
  <c r="O26" i="9"/>
  <c r="I38" i="9"/>
  <c r="K38" i="9"/>
  <c r="L39" i="9"/>
  <c r="P39" i="9"/>
  <c r="I50" i="9"/>
  <c r="N50" i="9"/>
  <c r="I51" i="9"/>
  <c r="L51" i="9"/>
  <c r="I52" i="9"/>
  <c r="L52" i="9"/>
  <c r="O67" i="9"/>
  <c r="O61" i="9"/>
  <c r="G26" i="9"/>
  <c r="N26" i="9"/>
  <c r="P26" i="9"/>
  <c r="N38" i="9"/>
  <c r="Q50" i="9"/>
  <c r="K32" i="8"/>
  <c r="L32" i="8"/>
  <c r="K31" i="8"/>
  <c r="L31" i="8"/>
  <c r="J38" i="8"/>
  <c r="J37" i="8"/>
  <c r="O52" i="8"/>
  <c r="P50" i="8"/>
  <c r="O51" i="8"/>
  <c r="O50" i="8"/>
  <c r="Q50" i="8"/>
  <c r="N38" i="8"/>
  <c r="N37" i="8"/>
  <c r="N65" i="8"/>
  <c r="O57" i="8"/>
  <c r="O59" i="8"/>
  <c r="P52" i="8"/>
  <c r="B56" i="8"/>
  <c r="H52" i="8"/>
  <c r="L52" i="8"/>
  <c r="P63" i="8"/>
  <c r="L50" i="8"/>
  <c r="J51" i="8"/>
  <c r="P51" i="8"/>
  <c r="H51" i="8"/>
  <c r="H50" i="8"/>
  <c r="D51" i="8"/>
  <c r="D50" i="8"/>
  <c r="D53" i="8"/>
  <c r="C53" i="8"/>
  <c r="H56" i="8"/>
  <c r="H39" i="8"/>
  <c r="I38" i="8"/>
  <c r="I37" i="8"/>
  <c r="J39" i="8"/>
  <c r="D39" i="8"/>
  <c r="C38" i="8"/>
  <c r="C37" i="8"/>
  <c r="B39" i="8"/>
  <c r="E37" i="8"/>
  <c r="K26" i="8"/>
  <c r="M26" i="8"/>
  <c r="K25" i="8"/>
  <c r="M25" i="8"/>
  <c r="H27" i="8"/>
  <c r="E26" i="8"/>
  <c r="G26" i="8"/>
  <c r="E25" i="8"/>
  <c r="O25" i="8"/>
  <c r="B27" i="8"/>
  <c r="F26" i="8"/>
  <c r="J11" i="8"/>
  <c r="B13" i="8"/>
  <c r="E11" i="8"/>
  <c r="P12" i="8"/>
  <c r="P11" i="8"/>
  <c r="O12" i="8"/>
  <c r="S12" i="8"/>
  <c r="O11" i="8"/>
  <c r="S11" i="8"/>
  <c r="H13" i="8"/>
  <c r="J12" i="8"/>
  <c r="E15" i="8"/>
  <c r="D12" i="8"/>
  <c r="D11" i="8"/>
  <c r="D13" i="8"/>
  <c r="B32" i="1"/>
  <c r="B23" i="1"/>
  <c r="F20" i="1"/>
  <c r="N34" i="1"/>
  <c r="E20" i="1"/>
  <c r="O38" i="1"/>
  <c r="F22" i="1"/>
  <c r="N36" i="1"/>
  <c r="E22" i="1"/>
  <c r="O40" i="1"/>
  <c r="F21" i="1"/>
  <c r="N35" i="1"/>
  <c r="E21" i="1"/>
  <c r="O39" i="1"/>
  <c r="K39" i="1"/>
  <c r="K38" i="1"/>
  <c r="K37" i="1"/>
  <c r="O63" i="8"/>
  <c r="P61" i="8"/>
  <c r="I50" i="8"/>
  <c r="K37" i="8"/>
  <c r="P25" i="8"/>
  <c r="S25" i="8"/>
  <c r="Q11" i="8"/>
  <c r="N11" i="8"/>
  <c r="Q26" i="8"/>
  <c r="N26" i="8"/>
  <c r="C39" i="8"/>
  <c r="Q39" i="8"/>
  <c r="I51" i="8"/>
  <c r="H57" i="9"/>
  <c r="H58" i="9"/>
  <c r="L53" i="9"/>
  <c r="K53" i="9"/>
  <c r="T25" i="9"/>
  <c r="T26" i="9"/>
  <c r="G27" i="9"/>
  <c r="R27" i="9"/>
  <c r="T27" i="9"/>
  <c r="Q13" i="9"/>
  <c r="T13" i="9"/>
  <c r="T11" i="9"/>
  <c r="S26" i="9"/>
  <c r="N51" i="9"/>
  <c r="N27" i="9"/>
  <c r="O70" i="9"/>
  <c r="P27" i="9"/>
  <c r="N52" i="9"/>
  <c r="O39" i="9"/>
  <c r="R39" i="9"/>
  <c r="O27" i="9"/>
  <c r="P53" i="8"/>
  <c r="J13" i="8"/>
  <c r="N13" i="8"/>
  <c r="E12" i="8"/>
  <c r="R6" i="8"/>
  <c r="S6" i="8"/>
  <c r="E31" i="8"/>
  <c r="F25" i="8"/>
  <c r="G25" i="8"/>
  <c r="G27" i="8"/>
  <c r="L25" i="8"/>
  <c r="R25" i="8"/>
  <c r="O26" i="8"/>
  <c r="I39" i="8"/>
  <c r="L51" i="8"/>
  <c r="N50" i="8"/>
  <c r="O61" i="8"/>
  <c r="I52" i="8"/>
  <c r="Q51" i="8"/>
  <c r="O53" i="8"/>
  <c r="Q53" i="8"/>
  <c r="E38" i="8"/>
  <c r="K38" i="8"/>
  <c r="K12" i="8"/>
  <c r="R12" i="8"/>
  <c r="K11" i="8"/>
  <c r="R11" i="8"/>
  <c r="T11" i="8"/>
  <c r="G15" i="8"/>
  <c r="Q12" i="8"/>
  <c r="T12" i="8"/>
  <c r="G31" i="8"/>
  <c r="L26" i="8"/>
  <c r="R26" i="8"/>
  <c r="T26" i="8"/>
  <c r="P26" i="8"/>
  <c r="P27" i="8"/>
  <c r="Q25" i="8"/>
  <c r="O27" i="8"/>
  <c r="H53" i="8"/>
  <c r="I53" i="8"/>
  <c r="L53" i="8"/>
  <c r="K53" i="8"/>
  <c r="N51" i="8"/>
  <c r="O67" i="8"/>
  <c r="Q52" i="8"/>
  <c r="R13" i="8"/>
  <c r="N39" i="8"/>
  <c r="N52" i="8"/>
  <c r="M27" i="8"/>
  <c r="N27" i="8"/>
  <c r="N12" i="8"/>
  <c r="P13" i="8"/>
  <c r="O13" i="8"/>
  <c r="L39" i="8"/>
  <c r="O39" i="8"/>
  <c r="P39" i="8"/>
  <c r="R39" i="8"/>
  <c r="G53" i="8"/>
  <c r="H57" i="8"/>
  <c r="H58" i="8"/>
  <c r="N53" i="9"/>
  <c r="S27" i="9"/>
  <c r="Q27" i="8"/>
  <c r="T25" i="8"/>
  <c r="S26" i="8"/>
  <c r="Q13" i="8"/>
  <c r="N53" i="8"/>
  <c r="T13" i="8"/>
  <c r="S27" i="8"/>
  <c r="O70" i="8"/>
  <c r="R27" i="8"/>
  <c r="N25" i="8"/>
  <c r="S13" i="8"/>
  <c r="T27" i="8"/>
  <c r="B29" i="2"/>
  <c r="B22" i="2"/>
  <c r="F19" i="2"/>
  <c r="J44" i="2"/>
  <c r="E19" i="2"/>
  <c r="K48" i="2"/>
  <c r="F20" i="2"/>
  <c r="J45" i="2"/>
  <c r="E20" i="2"/>
  <c r="K49" i="2"/>
  <c r="F21" i="2"/>
  <c r="J46" i="2"/>
  <c r="E21" i="2"/>
  <c r="K50" i="2"/>
  <c r="K51" i="2"/>
  <c r="C47" i="2"/>
  <c r="C48" i="2"/>
  <c r="C49" i="2"/>
  <c r="C50" i="2"/>
  <c r="K40" i="1"/>
  <c r="O41" i="1"/>
  <c r="P27" i="1"/>
  <c r="O28" i="1"/>
  <c r="K32" i="2"/>
  <c r="L39" i="2"/>
  <c r="F26" i="2"/>
  <c r="C35" i="2"/>
  <c r="F27" i="2"/>
  <c r="C36" i="2"/>
  <c r="F28" i="2"/>
  <c r="C37" i="2"/>
  <c r="D34" i="2"/>
  <c r="E26" i="2"/>
  <c r="G35" i="2"/>
  <c r="E27" i="2"/>
  <c r="G36" i="2"/>
  <c r="E28" i="2"/>
  <c r="G37" i="2"/>
  <c r="H34" i="2"/>
  <c r="K35" i="2"/>
  <c r="K36" i="2"/>
  <c r="K37" i="2"/>
  <c r="L34" i="2"/>
  <c r="B39" i="2"/>
  <c r="E11" i="2"/>
  <c r="G11" i="2"/>
  <c r="E12" i="2"/>
  <c r="G12" i="2"/>
  <c r="E13" i="2"/>
  <c r="G13" i="2"/>
  <c r="G14" i="2"/>
  <c r="G19" i="2"/>
  <c r="G20" i="2"/>
  <c r="G21" i="2"/>
  <c r="G22" i="2"/>
  <c r="I22" i="2"/>
  <c r="I21" i="2"/>
  <c r="I20" i="2"/>
  <c r="I19" i="2"/>
  <c r="G26" i="2"/>
  <c r="G27" i="2"/>
  <c r="G28" i="2"/>
  <c r="G29" i="2"/>
  <c r="I29" i="2"/>
  <c r="I28" i="2"/>
  <c r="I27" i="2"/>
  <c r="I26" i="2"/>
  <c r="D35" i="5"/>
  <c r="D36" i="5"/>
  <c r="D37" i="5"/>
  <c r="H35" i="5"/>
  <c r="H36" i="5"/>
  <c r="H37" i="5"/>
  <c r="J37" i="5"/>
  <c r="J36" i="5"/>
  <c r="B100" i="6"/>
  <c r="G98" i="6"/>
  <c r="J93" i="6"/>
  <c r="O91" i="6"/>
  <c r="M91" i="6"/>
  <c r="A105" i="6"/>
  <c r="G99" i="6"/>
  <c r="O92" i="6"/>
  <c r="M92" i="6"/>
  <c r="A106" i="6"/>
  <c r="C104" i="6"/>
  <c r="E98" i="6"/>
  <c r="E105" i="6"/>
  <c r="E99" i="6"/>
  <c r="E106" i="6"/>
  <c r="G104" i="6"/>
  <c r="B107" i="6"/>
  <c r="F98" i="6"/>
  <c r="F99" i="6"/>
  <c r="F100" i="6"/>
  <c r="N91" i="6"/>
  <c r="N92" i="6"/>
  <c r="N93" i="6"/>
  <c r="H100" i="6"/>
  <c r="H99" i="6"/>
  <c r="H98" i="6"/>
  <c r="B9" i="7"/>
  <c r="H9" i="7"/>
  <c r="K6" i="7"/>
  <c r="F27" i="7"/>
  <c r="K7" i="7"/>
  <c r="F28" i="7"/>
  <c r="K8" i="7"/>
  <c r="F29" i="7"/>
  <c r="F26" i="7"/>
  <c r="M66" i="6"/>
  <c r="N66" i="6"/>
  <c r="M67" i="6"/>
  <c r="N67" i="6"/>
  <c r="N68" i="6"/>
  <c r="E73" i="6"/>
  <c r="F73" i="6"/>
  <c r="E74" i="6"/>
  <c r="F74" i="6"/>
  <c r="F75" i="6"/>
  <c r="I75" i="6"/>
  <c r="I74" i="6"/>
  <c r="I73" i="6"/>
  <c r="C80" i="6"/>
  <c r="C81" i="6"/>
  <c r="D79" i="6"/>
  <c r="B68" i="6"/>
  <c r="G66" i="6"/>
  <c r="B75" i="6"/>
  <c r="G73" i="6"/>
  <c r="F80" i="6"/>
  <c r="G67" i="6"/>
  <c r="G74" i="6"/>
  <c r="F81" i="6"/>
  <c r="H79" i="6"/>
  <c r="J77" i="6"/>
  <c r="I80" i="6"/>
  <c r="C83" i="6"/>
  <c r="E6" i="7"/>
  <c r="I19" i="7"/>
  <c r="E7" i="7"/>
  <c r="I20" i="7"/>
  <c r="E8" i="7"/>
  <c r="I21" i="7"/>
  <c r="K18" i="7"/>
  <c r="D13" i="7"/>
  <c r="D14" i="7"/>
  <c r="D15" i="7"/>
  <c r="F12" i="7"/>
  <c r="B13" i="7"/>
  <c r="B14" i="7"/>
  <c r="B15" i="7"/>
  <c r="B12" i="7"/>
  <c r="G18" i="7"/>
  <c r="D20" i="7"/>
  <c r="D6" i="7"/>
  <c r="D7" i="7"/>
  <c r="D8" i="7"/>
  <c r="D9" i="7"/>
  <c r="J6" i="7"/>
  <c r="J7" i="7"/>
  <c r="J8" i="7"/>
  <c r="J9" i="7"/>
  <c r="M9" i="7"/>
  <c r="M8" i="7"/>
  <c r="M7" i="7"/>
  <c r="M6" i="7"/>
  <c r="J101" i="6"/>
  <c r="I105" i="6"/>
  <c r="B93" i="6"/>
  <c r="G92" i="6"/>
  <c r="E92" i="6"/>
  <c r="F92" i="6"/>
  <c r="G91" i="6"/>
  <c r="E91" i="6"/>
  <c r="F91" i="6"/>
  <c r="D13" i="4"/>
  <c r="C44" i="4"/>
  <c r="C27" i="4"/>
  <c r="J27" i="4"/>
  <c r="O27" i="4"/>
  <c r="B31" i="4"/>
  <c r="C38" i="4"/>
  <c r="C71" i="4"/>
  <c r="A74" i="4"/>
  <c r="E74" i="4"/>
  <c r="H74" i="4"/>
  <c r="B77" i="4"/>
  <c r="C66" i="4"/>
  <c r="C58" i="4"/>
  <c r="E23" i="4"/>
  <c r="E22" i="4"/>
  <c r="E21" i="4"/>
  <c r="B23" i="4"/>
  <c r="B22" i="4"/>
  <c r="B21" i="4"/>
  <c r="D10" i="4"/>
  <c r="J10" i="4"/>
  <c r="L10" i="4"/>
  <c r="J13" i="4"/>
  <c r="J12" i="4"/>
  <c r="J11" i="4"/>
  <c r="J14" i="4"/>
  <c r="I14" i="4"/>
  <c r="L13" i="4"/>
  <c r="D12" i="4"/>
  <c r="L12" i="4"/>
  <c r="D11" i="4"/>
  <c r="L11" i="4"/>
  <c r="D14" i="4"/>
  <c r="L14" i="4"/>
  <c r="C14" i="4"/>
  <c r="J68" i="6"/>
  <c r="O67" i="6"/>
  <c r="O66" i="6"/>
  <c r="E67" i="6"/>
  <c r="F67" i="6"/>
  <c r="E66" i="6"/>
  <c r="F66" i="6"/>
  <c r="E53" i="6"/>
  <c r="B58" i="6"/>
  <c r="L47" i="6"/>
  <c r="B57" i="6"/>
  <c r="B59" i="6"/>
  <c r="M47" i="6"/>
  <c r="F53" i="6"/>
  <c r="G53" i="6"/>
  <c r="E47" i="6"/>
  <c r="F47" i="6"/>
  <c r="F37" i="5"/>
  <c r="B37" i="5"/>
  <c r="E35" i="5"/>
  <c r="D50" i="5"/>
  <c r="G43" i="5"/>
  <c r="G42" i="5"/>
  <c r="G44" i="5"/>
  <c r="C43" i="5"/>
  <c r="C42" i="5"/>
  <c r="C44" i="5"/>
  <c r="C26" i="5"/>
  <c r="C25" i="5"/>
  <c r="C27" i="5"/>
  <c r="D20" i="5"/>
  <c r="D19" i="5"/>
  <c r="F73" i="3"/>
  <c r="F72" i="3"/>
  <c r="B73" i="3"/>
  <c r="B72" i="3"/>
  <c r="D65" i="3"/>
  <c r="D66" i="3"/>
  <c r="D68" i="3"/>
  <c r="L65" i="3"/>
  <c r="L66" i="3"/>
  <c r="L68" i="3"/>
  <c r="N68" i="3"/>
  <c r="N67" i="3"/>
  <c r="N66" i="3"/>
  <c r="N65" i="3"/>
  <c r="G67" i="3"/>
  <c r="K67" i="3"/>
  <c r="K68" i="3"/>
  <c r="H66" i="3"/>
  <c r="H65" i="3"/>
  <c r="C67" i="3"/>
  <c r="G59" i="3"/>
  <c r="G58" i="3"/>
  <c r="D59" i="3"/>
  <c r="D58" i="3"/>
  <c r="L48" i="3"/>
  <c r="L49" i="3"/>
  <c r="L50" i="3"/>
  <c r="L51" i="3"/>
  <c r="K51" i="3"/>
  <c r="H48" i="3"/>
  <c r="H49" i="3"/>
  <c r="H50" i="3"/>
  <c r="H51" i="3"/>
  <c r="G51" i="3"/>
  <c r="D48" i="3"/>
  <c r="D49" i="3"/>
  <c r="D50" i="3"/>
  <c r="D51" i="3"/>
  <c r="C51" i="3"/>
  <c r="F41" i="3"/>
  <c r="F40" i="3"/>
  <c r="B41" i="3"/>
  <c r="B40" i="3"/>
  <c r="D32" i="3"/>
  <c r="D33" i="3"/>
  <c r="D34" i="3"/>
  <c r="H32" i="3"/>
  <c r="H33" i="3"/>
  <c r="H34" i="3"/>
  <c r="J34" i="3"/>
  <c r="J33" i="3"/>
  <c r="J32" i="3"/>
  <c r="D12" i="3"/>
  <c r="H12" i="3"/>
  <c r="J12" i="3"/>
  <c r="H19" i="3"/>
  <c r="H18" i="3"/>
  <c r="H17" i="3"/>
  <c r="H13" i="3"/>
  <c r="H14" i="3"/>
  <c r="H15" i="3"/>
  <c r="H16" i="3"/>
  <c r="H20" i="3"/>
  <c r="D19" i="3"/>
  <c r="J19" i="3"/>
  <c r="D18" i="3"/>
  <c r="J18" i="3"/>
  <c r="D17" i="3"/>
  <c r="J17" i="3"/>
  <c r="D16" i="3"/>
  <c r="J16" i="3"/>
  <c r="D15" i="3"/>
  <c r="J15" i="3"/>
  <c r="D14" i="3"/>
  <c r="J14" i="3"/>
  <c r="D13" i="3"/>
  <c r="D20" i="3"/>
  <c r="J20" i="3"/>
  <c r="F31" i="1"/>
  <c r="J22" i="1"/>
  <c r="F30" i="1"/>
  <c r="J21" i="1"/>
  <c r="F29" i="1"/>
  <c r="J20" i="1"/>
  <c r="N22" i="1"/>
  <c r="N21" i="1"/>
  <c r="N20" i="1"/>
  <c r="E29" i="1"/>
  <c r="L20" i="1"/>
  <c r="E30" i="1"/>
  <c r="L21" i="1"/>
  <c r="E31" i="1"/>
  <c r="L22" i="1"/>
  <c r="G29" i="1"/>
  <c r="G30" i="1"/>
  <c r="G31" i="1"/>
  <c r="G32" i="1"/>
  <c r="G20" i="1"/>
  <c r="G21" i="1"/>
  <c r="G22" i="1"/>
  <c r="G23" i="1"/>
  <c r="J14" i="1"/>
  <c r="I13" i="1"/>
  <c r="I12" i="1"/>
  <c r="I11" i="1"/>
  <c r="I14" i="1"/>
  <c r="B14" i="2"/>
  <c r="F13" i="2"/>
  <c r="F12" i="2"/>
  <c r="F11" i="2"/>
  <c r="N23" i="1"/>
  <c r="E11" i="1"/>
  <c r="G11" i="1"/>
  <c r="E12" i="1"/>
  <c r="G12" i="1"/>
  <c r="E13" i="1"/>
  <c r="G13" i="1"/>
  <c r="G14" i="1"/>
  <c r="B14" i="1"/>
  <c r="F13" i="1"/>
  <c r="F12" i="1"/>
  <c r="F11" i="1"/>
  <c r="B45" i="5"/>
  <c r="D21" i="5"/>
  <c r="C51" i="5"/>
  <c r="E36" i="5"/>
  <c r="I36" i="5"/>
  <c r="D55" i="5"/>
  <c r="I35" i="5"/>
  <c r="C68" i="3"/>
  <c r="J13" i="3"/>
  <c r="L23" i="1"/>
  <c r="J23" i="1"/>
  <c r="D54" i="5"/>
  <c r="D56" i="5"/>
  <c r="C57" i="5"/>
  <c r="J25" i="1"/>
  <c r="H68" i="3"/>
  <c r="G68" i="3"/>
</calcChain>
</file>

<file path=xl/sharedStrings.xml><?xml version="1.0" encoding="utf-8"?>
<sst xmlns="http://schemas.openxmlformats.org/spreadsheetml/2006/main" count="982" uniqueCount="350">
  <si>
    <t>AT</t>
  </si>
  <si>
    <t>AN</t>
  </si>
  <si>
    <t>CM</t>
  </si>
  <si>
    <t>Q</t>
  </si>
  <si>
    <t>P</t>
  </si>
  <si>
    <t>CU</t>
  </si>
  <si>
    <t>mu</t>
  </si>
  <si>
    <t>compo</t>
  </si>
  <si>
    <t>total</t>
  </si>
  <si>
    <t>écarts</t>
  </si>
  <si>
    <t>écart de compo</t>
  </si>
  <si>
    <t>écart de mu</t>
  </si>
  <si>
    <t>écart de volume</t>
  </si>
  <si>
    <t>cas 1</t>
  </si>
  <si>
    <t>réel</t>
  </si>
  <si>
    <t>C</t>
  </si>
  <si>
    <t>marge</t>
  </si>
  <si>
    <t>T</t>
  </si>
  <si>
    <t>ecarts</t>
  </si>
  <si>
    <t>Qr</t>
  </si>
  <si>
    <t>Pr</t>
  </si>
  <si>
    <t>Cur</t>
  </si>
  <si>
    <t>mur</t>
  </si>
  <si>
    <t>compor</t>
  </si>
  <si>
    <t>Qp</t>
  </si>
  <si>
    <t>Pp</t>
  </si>
  <si>
    <t>Cup</t>
  </si>
  <si>
    <t>mup</t>
  </si>
  <si>
    <t>compop</t>
  </si>
  <si>
    <t>mu/cp</t>
  </si>
  <si>
    <t>atelier de production</t>
  </si>
  <si>
    <t>matière m</t>
  </si>
  <si>
    <t>matière n</t>
  </si>
  <si>
    <t>mod</t>
  </si>
  <si>
    <t>frais d'atelier</t>
  </si>
  <si>
    <t>atelier emballage</t>
  </si>
  <si>
    <t>emballages</t>
  </si>
  <si>
    <t>frais de centre</t>
  </si>
  <si>
    <t>coût total</t>
  </si>
  <si>
    <t>M</t>
  </si>
  <si>
    <t>25*0,2</t>
  </si>
  <si>
    <t>Ecarts</t>
  </si>
  <si>
    <t>Dans l'ensemble les réalisations ont été conformes aux prévisions, même si elles sont généralement moins favorables. L'écart sur coût de production pour le mois de février ne représente que 1,27% du coût préétable de la prouction réelle</t>
  </si>
  <si>
    <t>QrPr</t>
  </si>
  <si>
    <t>matières</t>
  </si>
  <si>
    <t>MOD</t>
  </si>
  <si>
    <t>QpPp</t>
  </si>
  <si>
    <t>1500*1/60</t>
  </si>
  <si>
    <t>écart de prix</t>
  </si>
  <si>
    <t>écart de quantité</t>
  </si>
  <si>
    <t>préétabli</t>
  </si>
  <si>
    <t>MP</t>
  </si>
  <si>
    <t>atelier</t>
  </si>
  <si>
    <t>QrCUr</t>
  </si>
  <si>
    <t>préétabli ajusté</t>
  </si>
  <si>
    <t>45/50*10000</t>
  </si>
  <si>
    <t>écart global</t>
  </si>
  <si>
    <t>130100- 126000 =4100</t>
  </si>
  <si>
    <t>Ecart sur quantité</t>
  </si>
  <si>
    <t>Ecart sur prix</t>
  </si>
  <si>
    <t>Ecart global</t>
  </si>
  <si>
    <t>CI</t>
  </si>
  <si>
    <t>11480/12000*12000</t>
  </si>
  <si>
    <t>écart sur prix</t>
  </si>
  <si>
    <t>écart sur quantité</t>
  </si>
  <si>
    <t>Réel</t>
  </si>
  <si>
    <t>PU</t>
  </si>
  <si>
    <t>CA</t>
  </si>
  <si>
    <t>écart total</t>
  </si>
  <si>
    <t>vérification</t>
  </si>
  <si>
    <t>CA Total</t>
  </si>
  <si>
    <t>écart</t>
  </si>
  <si>
    <t>Pain</t>
  </si>
  <si>
    <t>Baguette</t>
  </si>
  <si>
    <t>Prévisions</t>
  </si>
  <si>
    <t>Réalisé</t>
  </si>
  <si>
    <t>Ecart total</t>
  </si>
  <si>
    <t>Vérification</t>
  </si>
  <si>
    <t>Préétabli</t>
  </si>
  <si>
    <t>Décomposition de l'écart total</t>
  </si>
  <si>
    <t>Décomposition de l'écart sur quantité</t>
  </si>
  <si>
    <t>écart sur volume</t>
  </si>
  <si>
    <t>PMpp</t>
  </si>
  <si>
    <t>Ecart sur composition</t>
  </si>
  <si>
    <t>cartables</t>
  </si>
  <si>
    <t>MU</t>
  </si>
  <si>
    <t>Marge réelle</t>
  </si>
  <si>
    <t>Marge préét</t>
  </si>
  <si>
    <t>écart sur mu</t>
  </si>
  <si>
    <t>écart sur Qté</t>
  </si>
  <si>
    <t>marge réelle sur CP</t>
  </si>
  <si>
    <t>Brioche</t>
  </si>
  <si>
    <t>Marge réelle sur CP</t>
  </si>
  <si>
    <t>Marge préétabli</t>
  </si>
  <si>
    <t>écart sur marge</t>
  </si>
  <si>
    <t>Préétabli ajusté au réel</t>
  </si>
  <si>
    <t>matière alu</t>
  </si>
  <si>
    <t>matière fonte</t>
  </si>
  <si>
    <t>centre atelier</t>
  </si>
  <si>
    <t>5000*12900/10000</t>
  </si>
  <si>
    <t>Ecart</t>
  </si>
  <si>
    <t>Décomposition de l'écart sur CI</t>
  </si>
  <si>
    <t>Décomposition de l'écart sur CD</t>
  </si>
  <si>
    <t>écart sur prix/coût</t>
  </si>
  <si>
    <t>écart sur budget</t>
  </si>
  <si>
    <t>Cout réel - budget flexible de l'activité réelle</t>
  </si>
  <si>
    <t>(CUOer*NUOer)-[ (cvUOep*NUOer)+CFTp]</t>
  </si>
  <si>
    <t>écart sur activité</t>
  </si>
  <si>
    <t>calcul du budget standard</t>
  </si>
  <si>
    <t>prévue 12000</t>
  </si>
  <si>
    <t>donc</t>
  </si>
  <si>
    <t>768h</t>
  </si>
  <si>
    <t>CV</t>
  </si>
  <si>
    <t>30*768</t>
  </si>
  <si>
    <t>CF</t>
  </si>
  <si>
    <t>35*768</t>
  </si>
  <si>
    <t>calcul du budget flexible</t>
  </si>
  <si>
    <t>30*800</t>
  </si>
  <si>
    <t>budget flexible -coût  préétabli de l'activité réelle</t>
  </si>
  <si>
    <t>[ (cvUOep*NUOer)+CFTp]- (CUOep * NUOer)</t>
  </si>
  <si>
    <t>écart dur rendement</t>
  </si>
  <si>
    <t>Coût préétabli de l'activité réelle - coût préétabli de la production réelle</t>
  </si>
  <si>
    <t>(CUOep*NUOer) - (CUOep *NUOep de la production réelle)</t>
  </si>
  <si>
    <t>Cout réel de Uoe sachant qu'il y a une sous activité de 10%</t>
  </si>
  <si>
    <t>Activité réelle= activité normale *90%= 1800</t>
  </si>
  <si>
    <t>Coût réel = 216000/1800 = 120</t>
  </si>
  <si>
    <t>Budget ajusté à la production réelle</t>
  </si>
  <si>
    <t>il faut 2000 en préétabli pour produire 5000 donc pour 4540  il faut 1816</t>
  </si>
  <si>
    <t>25*1816</t>
  </si>
  <si>
    <t>75*1816</t>
  </si>
  <si>
    <t>Budget standard</t>
  </si>
  <si>
    <t>25*2000</t>
  </si>
  <si>
    <t>75*2000</t>
  </si>
  <si>
    <t>Budget flexible</t>
  </si>
  <si>
    <t>25*1800</t>
  </si>
  <si>
    <t>Ecart global  coût réel - coût préétabli ajusté à la production réelle</t>
  </si>
  <si>
    <t>216000-181600 = 34400</t>
  </si>
  <si>
    <t>Ecart sur budget</t>
  </si>
  <si>
    <t>écart sur rendement</t>
  </si>
  <si>
    <t xml:space="preserve">Cout réel </t>
  </si>
  <si>
    <t>Préét ajusté au réel</t>
  </si>
  <si>
    <t>Exercice supplémentaire</t>
  </si>
  <si>
    <t>P1</t>
  </si>
  <si>
    <t>P2</t>
  </si>
  <si>
    <t>Marge réelle/ Cp</t>
  </si>
  <si>
    <t>Mumpp</t>
  </si>
  <si>
    <t>CAR</t>
  </si>
  <si>
    <t>études</t>
  </si>
  <si>
    <t>direction de travaux</t>
  </si>
  <si>
    <t>conduites d'opérations</t>
  </si>
  <si>
    <t>montant</t>
  </si>
  <si>
    <t>CAP</t>
  </si>
  <si>
    <t>pmpp</t>
  </si>
  <si>
    <t>(compo r - compo p)QTr*pp</t>
  </si>
  <si>
    <t>(QTR-QTP)*pmpp</t>
  </si>
  <si>
    <t>(mur-mup)*QTr</t>
  </si>
  <si>
    <t>(QTr-QTp)*pp</t>
  </si>
  <si>
    <t>mmpp</t>
  </si>
  <si>
    <t>( QTr-QTP)* compop*pp</t>
  </si>
  <si>
    <t>écart de volume deuxième facon</t>
  </si>
  <si>
    <r>
      <t>((</t>
    </r>
    <r>
      <rPr>
        <sz val="11"/>
        <color rgb="FFFF0000"/>
        <rFont val="Calibri"/>
        <family val="2"/>
        <scheme val="minor"/>
      </rPr>
      <t>Compor</t>
    </r>
    <r>
      <rPr>
        <sz val="11"/>
        <color theme="1"/>
        <rFont val="Calibri"/>
        <family val="2"/>
        <scheme val="minor"/>
      </rPr>
      <t>*QTr)-(QTr*</t>
    </r>
    <r>
      <rPr>
        <sz val="11"/>
        <color rgb="FFFF0000"/>
        <rFont val="Calibri"/>
        <family val="2"/>
        <scheme val="minor"/>
      </rPr>
      <t>compop</t>
    </r>
    <r>
      <rPr>
        <sz val="11"/>
        <color theme="1"/>
        <rFont val="Calibri"/>
        <family val="2"/>
        <scheme val="minor"/>
      </rPr>
      <t>))*pp</t>
    </r>
  </si>
  <si>
    <r>
      <t>((Compor*</t>
    </r>
    <r>
      <rPr>
        <sz val="11"/>
        <color rgb="FFFF0000"/>
        <rFont val="Calibri"/>
        <family val="2"/>
        <scheme val="minor"/>
      </rPr>
      <t>QTr</t>
    </r>
    <r>
      <rPr>
        <sz val="11"/>
        <color theme="1"/>
        <rFont val="Calibri"/>
        <family val="2"/>
        <scheme val="minor"/>
      </rPr>
      <t>)-(</t>
    </r>
    <r>
      <rPr>
        <sz val="11"/>
        <color rgb="FFFF0000"/>
        <rFont val="Calibri"/>
        <family val="2"/>
        <scheme val="minor"/>
      </rPr>
      <t>QTp</t>
    </r>
    <r>
      <rPr>
        <sz val="11"/>
        <color theme="1"/>
        <rFont val="Calibri"/>
        <family val="2"/>
        <scheme val="minor"/>
      </rPr>
      <t>*compop))*pp</t>
    </r>
  </si>
  <si>
    <t>CA Réel</t>
  </si>
  <si>
    <t>Décomposition de l'écart</t>
  </si>
  <si>
    <t>Coût Réel</t>
  </si>
  <si>
    <t>Coûts Rééls</t>
  </si>
  <si>
    <t>Coûts  préétablis</t>
  </si>
  <si>
    <t>marge réelle</t>
  </si>
  <si>
    <t>marge préétablie</t>
  </si>
  <si>
    <t>marge réelle sur cp</t>
  </si>
  <si>
    <t>ou</t>
  </si>
  <si>
    <t>Qr si compo préet</t>
  </si>
  <si>
    <t>Qp compop</t>
  </si>
  <si>
    <t>Qr compor</t>
  </si>
  <si>
    <t>Qr compop</t>
  </si>
  <si>
    <t>QTr*compop</t>
  </si>
  <si>
    <t>Ecart de compo</t>
  </si>
  <si>
    <t>Ecart de mu</t>
  </si>
  <si>
    <t>Ecart de volume</t>
  </si>
  <si>
    <t>Marge préétablie</t>
  </si>
  <si>
    <t>Marge réelle sur cp</t>
  </si>
  <si>
    <t>Q préétablies</t>
  </si>
  <si>
    <t>Q réelles</t>
  </si>
  <si>
    <t>Q réelles si compo p</t>
  </si>
  <si>
    <t>A</t>
  </si>
  <si>
    <t>Prévisionnel</t>
  </si>
  <si>
    <t>Ecart sur</t>
  </si>
  <si>
    <t>Vérif</t>
  </si>
  <si>
    <t>Qté</t>
  </si>
  <si>
    <t>OK</t>
  </si>
  <si>
    <t>B</t>
  </si>
  <si>
    <t>Total</t>
  </si>
  <si>
    <t>Marge</t>
  </si>
  <si>
    <t>Tx marge</t>
  </si>
  <si>
    <t>écart vol</t>
  </si>
  <si>
    <t>écart qte</t>
  </si>
  <si>
    <t>écart compo</t>
  </si>
  <si>
    <t>vérif</t>
  </si>
  <si>
    <t>Décomposition écart total</t>
  </si>
  <si>
    <t>Décomposition écart sur quantité</t>
  </si>
  <si>
    <t>Vérif ET</t>
  </si>
  <si>
    <t>vérif EQ</t>
  </si>
  <si>
    <t>Réel sur CP</t>
  </si>
  <si>
    <t>compo CA</t>
  </si>
  <si>
    <t>compo ca</t>
  </si>
  <si>
    <t>prévu</t>
  </si>
  <si>
    <t>m</t>
  </si>
  <si>
    <t>écart volume</t>
  </si>
  <si>
    <t>écart économique</t>
  </si>
  <si>
    <t>écart prix</t>
  </si>
  <si>
    <t>budget flexible</t>
  </si>
  <si>
    <t>écart budget</t>
  </si>
  <si>
    <t>cp ar</t>
  </si>
  <si>
    <t>écart sur rdt</t>
  </si>
  <si>
    <t>taux marge</t>
  </si>
  <si>
    <t>vol</t>
  </si>
  <si>
    <t>cur</t>
  </si>
  <si>
    <t>ecart vol</t>
  </si>
  <si>
    <t>Ecart sur Q</t>
  </si>
  <si>
    <t>Ecart sur PU</t>
  </si>
  <si>
    <t>Ecart sur MU</t>
  </si>
  <si>
    <t>Produits homogènes</t>
  </si>
  <si>
    <t>Produits hétérogènes</t>
  </si>
  <si>
    <t>Pur</t>
  </si>
  <si>
    <t xml:space="preserve">marge </t>
  </si>
  <si>
    <t>taux de marge préétabli ajusté</t>
  </si>
  <si>
    <t>Vérif EG</t>
  </si>
  <si>
    <t>source 1</t>
  </si>
  <si>
    <r>
      <t>1.</t>
    </r>
    <r>
      <rPr>
        <b/>
        <sz val="18"/>
        <color theme="1"/>
        <rFont val="Times New Roman"/>
      </rPr>
      <t xml:space="preserve">    </t>
    </r>
    <r>
      <rPr>
        <b/>
        <sz val="18"/>
        <color theme="1"/>
        <rFont val="Calibri"/>
        <family val="2"/>
        <scheme val="minor"/>
      </rPr>
      <t>Décomposition d’un écart en plusieurs sous-écarts</t>
    </r>
  </si>
  <si>
    <t>source 2</t>
  </si>
  <si>
    <t>source 3</t>
  </si>
  <si>
    <t>écart sur compo</t>
  </si>
  <si>
    <r>
      <t>1.</t>
    </r>
    <r>
      <rPr>
        <b/>
        <sz val="18"/>
        <color theme="1"/>
        <rFont val="Times New Roman"/>
      </rPr>
      <t xml:space="preserve">    </t>
    </r>
    <r>
      <rPr>
        <b/>
        <sz val="18"/>
        <color theme="1"/>
        <rFont val="Calibri"/>
        <family val="2"/>
        <scheme val="minor"/>
      </rPr>
      <t>Décomposition d’un écart en plusieurs sous-écarts: chrono</t>
    </r>
  </si>
  <si>
    <t>marché</t>
  </si>
  <si>
    <t>prix</t>
  </si>
  <si>
    <t>cout</t>
  </si>
  <si>
    <t>PDM</t>
  </si>
  <si>
    <t>vérification OK</t>
  </si>
  <si>
    <t>3. Décomposition d’un écart en plusieurs sous-écarts : cas Shadow</t>
  </si>
  <si>
    <t>4. Décomposition d’un écart en plusieurs sous-écarts : cas rétro</t>
  </si>
  <si>
    <t>Réalisations</t>
  </si>
  <si>
    <t>Quantités</t>
  </si>
  <si>
    <t>Prix unitaire</t>
  </si>
  <si>
    <t>Montant</t>
  </si>
  <si>
    <t>Dahlia</t>
  </si>
  <si>
    <t>Jasmin</t>
  </si>
  <si>
    <t>Lilas</t>
  </si>
  <si>
    <t>10 000</t>
  </si>
  <si>
    <t>8 000</t>
  </si>
  <si>
    <t>5 000</t>
  </si>
  <si>
    <t>400 000</t>
  </si>
  <si>
    <t>480 000</t>
  </si>
  <si>
    <t>450 000</t>
  </si>
  <si>
    <t>11 000</t>
  </si>
  <si>
    <t>7 500</t>
  </si>
  <si>
    <t>3 000</t>
  </si>
  <si>
    <t>462 000</t>
  </si>
  <si>
    <t>465 000</t>
  </si>
  <si>
    <t>270 000</t>
  </si>
  <si>
    <t>1 330 000</t>
  </si>
  <si>
    <t>1 197 000</t>
  </si>
  <si>
    <t>compo pre</t>
  </si>
  <si>
    <t>comporéelle</t>
  </si>
  <si>
    <r>
      <t>5.</t>
    </r>
    <r>
      <rPr>
        <b/>
        <sz val="20"/>
        <color theme="1"/>
        <rFont val="Times New Roman"/>
      </rPr>
      <t xml:space="preserve"> </t>
    </r>
    <r>
      <rPr>
        <b/>
        <sz val="20"/>
        <color theme="1"/>
        <rFont val="Calibri"/>
        <family val="2"/>
        <scheme val="minor"/>
      </rPr>
      <t>Analyse des écarts sur ventes : cas Floralia</t>
    </r>
  </si>
  <si>
    <t>Coût unitaire S</t>
  </si>
  <si>
    <t>marge rélle sur CS</t>
  </si>
  <si>
    <t>marge prev sur CS</t>
  </si>
  <si>
    <r>
      <t>6.</t>
    </r>
    <r>
      <rPr>
        <sz val="18"/>
        <color theme="1"/>
        <rFont val="Times New Roman"/>
      </rPr>
      <t xml:space="preserve"> </t>
    </r>
    <r>
      <rPr>
        <sz val="18"/>
        <color theme="1"/>
        <rFont val="Calibri"/>
        <family val="2"/>
        <scheme val="minor"/>
      </rPr>
      <t>Analyse des écarts sur marges sur coût standard : cas Floralia</t>
    </r>
  </si>
  <si>
    <r>
      <rPr>
        <sz val="18"/>
        <color theme="1"/>
        <rFont val="Times New Roman"/>
      </rPr>
      <t xml:space="preserve">7 </t>
    </r>
    <r>
      <rPr>
        <sz val="18"/>
        <color theme="1"/>
        <rFont val="Calibri"/>
        <family val="2"/>
        <scheme val="minor"/>
      </rPr>
      <t>Analyse des écarts sur marges sur coût standard : cas société Misses</t>
    </r>
  </si>
  <si>
    <r>
      <t>8.</t>
    </r>
    <r>
      <rPr>
        <sz val="18"/>
        <color theme="1"/>
        <rFont val="Times New Roman"/>
      </rPr>
      <t xml:space="preserve"> </t>
    </r>
    <r>
      <rPr>
        <sz val="18"/>
        <color theme="1"/>
        <rFont val="Calibri"/>
        <family val="2"/>
        <scheme val="minor"/>
      </rPr>
      <t>Analyse des écarts sur marges sur coût standard : cas Mille images</t>
    </r>
  </si>
  <si>
    <r>
      <rPr>
        <sz val="18"/>
        <color theme="1"/>
        <rFont val="Times New Roman"/>
      </rPr>
      <t xml:space="preserve">9 </t>
    </r>
    <r>
      <rPr>
        <sz val="18"/>
        <color theme="1"/>
        <rFont val="Calibri"/>
        <family val="2"/>
        <scheme val="minor"/>
      </rPr>
      <t>Analyse des écarts sur marges sur coût standard : Hot et Toast</t>
    </r>
  </si>
  <si>
    <r>
      <rPr>
        <sz val="18"/>
        <color theme="1"/>
        <rFont val="Calibri"/>
        <family val="2"/>
        <scheme val="minor"/>
      </rPr>
      <t>1.</t>
    </r>
    <r>
      <rPr>
        <sz val="18"/>
        <color theme="1"/>
        <rFont val="Times New Roman"/>
      </rPr>
      <t xml:space="preserve"> </t>
    </r>
    <r>
      <rPr>
        <sz val="18"/>
        <color theme="1"/>
        <rFont val="Calibri"/>
        <family val="2"/>
        <scheme val="minor"/>
      </rPr>
      <t>Situation Val de Loire</t>
    </r>
  </si>
  <si>
    <r>
      <rPr>
        <sz val="18"/>
        <color theme="1"/>
        <rFont val="Calibri"/>
        <family val="2"/>
        <scheme val="minor"/>
      </rPr>
      <t>1.</t>
    </r>
    <r>
      <rPr>
        <sz val="18"/>
        <color theme="1"/>
        <rFont val="Times New Roman"/>
      </rPr>
      <t xml:space="preserve"> </t>
    </r>
    <r>
      <rPr>
        <sz val="18"/>
        <color theme="1"/>
        <rFont val="Calibri"/>
        <family val="2"/>
        <scheme val="minor"/>
      </rPr>
      <t>Situation SA Bois confort</t>
    </r>
  </si>
  <si>
    <t>cas 2</t>
  </si>
  <si>
    <t>taux de marge</t>
  </si>
  <si>
    <t>écart de marge</t>
  </si>
  <si>
    <t>(taux de marge moyen réel - taux de marge moyen préétabli ajusté au réel) * CAR</t>
  </si>
  <si>
    <t>tMMPAR</t>
  </si>
  <si>
    <t>(taux de marge moyen préétabli ajusté au réel - taux de marge moyen préétabli)*CAR</t>
  </si>
  <si>
    <t>vérif ok</t>
  </si>
  <si>
    <t>vérif OK</t>
  </si>
  <si>
    <t>BUDGET PRÉVISIONNEL</t>
  </si>
  <si>
    <t>100000 x O,5 x2 : marché potentiel prévisionnel X PDM prévisionnelle x MUP</t>
  </si>
  <si>
    <t>BUDGET REEL</t>
  </si>
  <si>
    <t>70000 x 0,7 X 2 : marché potentiel réel X PDM réelle x MUR</t>
  </si>
  <si>
    <t>Marché réel 70000x 0,7</t>
  </si>
  <si>
    <t>Marché réel si PDM prévisionnelle 70000 x 0,5</t>
  </si>
  <si>
    <t>Marché prévisionnel 1000 x 0,7</t>
  </si>
  <si>
    <t>Écart sur marché potentiel</t>
  </si>
  <si>
    <t>(70000 – 100000) x 2 x 0,5     (MPR – MPP )x MUPx PDMP =- 30000  ou  dit autrement (marché réel si PDM prévisionnelle  (70000x0,5) - marché prévisionnel (100000x0,5) )x MUP (2)</t>
  </si>
  <si>
    <t>Ecart sur PDM</t>
  </si>
  <si>
    <t>(0,7- 0,5) x2 x 70000 = ( PDMR - PDMP) xMUP xMPR ou dit autrement  (marché réel (70000 x 0,7) – marché réel si PDM prévisionnelle( 70000x0,5) )x MUP (2)= 28000</t>
  </si>
  <si>
    <t xml:space="preserve">(9,5 –10)x 70000x0,7= -30000     (Pr –Pp) x Marché potentiel réel xPDM réelle </t>
  </si>
  <si>
    <t>Ecart sur cout</t>
  </si>
  <si>
    <t xml:space="preserve">(7,5 – 8) x 70000x0,7  = -30000 (Cr-Cp) x Marché potentiel réel xPDM réelle </t>
  </si>
  <si>
    <t>Verif</t>
  </si>
  <si>
    <t>-30000 + 28000 – 30000 - (- 30000) = 2000</t>
  </si>
  <si>
    <t>Pmpp</t>
  </si>
  <si>
    <t>dahlia</t>
  </si>
  <si>
    <t>jasmin</t>
  </si>
  <si>
    <t>lilas</t>
  </si>
  <si>
    <t>écart quantité</t>
  </si>
  <si>
    <t>contrôle budgétaire des charges directe</t>
  </si>
  <si>
    <t>1 Duchaussoy</t>
  </si>
  <si>
    <t>2 Manchon</t>
  </si>
  <si>
    <t xml:space="preserve"> 3 Prévost</t>
  </si>
  <si>
    <t>4 Druot</t>
  </si>
  <si>
    <t>Entreprise Y exercice supplémentaire hors poly</t>
  </si>
  <si>
    <t>Entreprise Z exercice supplémentaire hors poly</t>
  </si>
  <si>
    <t>5 Mécatech</t>
  </si>
  <si>
    <t>pour une activité normale 11960 heures</t>
  </si>
  <si>
    <t>charges fixes</t>
  </si>
  <si>
    <t>cahrges variables</t>
  </si>
  <si>
    <t>Pour une activité réelle 11330</t>
  </si>
  <si>
    <t>cahrges variable</t>
  </si>
  <si>
    <t>écart sur budget charges réelles ndirectes constatées - budget felxible</t>
  </si>
  <si>
    <t>écart sur activité budget flexible - coût préétabli de l'unité d'œuvre * activité réelle du centre</t>
  </si>
  <si>
    <t>écart sur rendement cout prétabli de l'inité d'œuvre *activité réelle - cout préétabli de l'unité d'œuvre * activité correspondant à l'activité réelle</t>
  </si>
  <si>
    <t>dont fixe</t>
  </si>
  <si>
    <t>variable</t>
  </si>
  <si>
    <t xml:space="preserve">Ecart global par rapport à la production prévue: </t>
  </si>
  <si>
    <t>Ecart global part rapport à la production réelle</t>
  </si>
  <si>
    <t>x</t>
  </si>
  <si>
    <t>données réelles</t>
  </si>
  <si>
    <t>données prévisionnelles</t>
  </si>
  <si>
    <t>écart MOD</t>
  </si>
  <si>
    <t>Quantité</t>
  </si>
  <si>
    <t>écart sur matière</t>
  </si>
  <si>
    <t>quantité</t>
  </si>
  <si>
    <t>écart sur CI</t>
  </si>
  <si>
    <t>pour une activité normale de 4000 heures</t>
  </si>
  <si>
    <t>Pour une activité réelle soit 3500 heures</t>
  </si>
  <si>
    <t>def</t>
  </si>
  <si>
    <t>fav</t>
  </si>
  <si>
    <t>verif</t>
  </si>
  <si>
    <t>cout préétabli de l'activité réelle</t>
  </si>
  <si>
    <t>muR/cp</t>
  </si>
  <si>
    <t>écart mu</t>
  </si>
  <si>
    <t>compoP</t>
  </si>
  <si>
    <t>compoR</t>
  </si>
  <si>
    <t>écart sur vol</t>
  </si>
  <si>
    <t>prévisionnel</t>
  </si>
  <si>
    <t>écart sur cout</t>
  </si>
  <si>
    <t>CD</t>
  </si>
  <si>
    <t>ACD</t>
  </si>
  <si>
    <t>résultat</t>
  </si>
  <si>
    <t>budget standard</t>
  </si>
  <si>
    <t xml:space="preserve"> écart global</t>
  </si>
  <si>
    <t>600 =</t>
  </si>
  <si>
    <t>x=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</si>
</sst>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00000%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00FF00"/>
      <name val="Arial"/>
      <family val="2"/>
    </font>
    <font>
      <sz val="11"/>
      <color rgb="FF00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1"/>
      <name val="Times New Roman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Times New Roman"/>
    </font>
    <font>
      <sz val="18"/>
      <color theme="1"/>
      <name val="Times New Roman"/>
    </font>
    <font>
      <sz val="22"/>
      <color theme="1"/>
      <name val="Calibri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96DB"/>
        <bgColor indexed="64"/>
      </patternFill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4">
    <xf numFmtId="0" fontId="0" fillId="0" borderId="0"/>
    <xf numFmtId="0" fontId="15" fillId="0" borderId="0"/>
    <xf numFmtId="9" fontId="17" fillId="0" borderId="0" applyFont="0" applyFill="0" applyBorder="0" applyAlignment="0" applyProtection="0"/>
    <xf numFmtId="0" fontId="18" fillId="2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5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1" xfId="0" applyFont="1" applyBorder="1"/>
    <xf numFmtId="0" fontId="0" fillId="0" borderId="0" xfId="0" applyBorder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/>
    <xf numFmtId="0" fontId="0" fillId="0" borderId="0" xfId="0" applyAlignment="1"/>
    <xf numFmtId="0" fontId="9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4" borderId="0" xfId="0" applyFill="1" applyAlignment="1"/>
    <xf numFmtId="0" fontId="0" fillId="4" borderId="0" xfId="0" applyFill="1"/>
    <xf numFmtId="0" fontId="10" fillId="0" borderId="0" xfId="0" applyFont="1"/>
    <xf numFmtId="0" fontId="11" fillId="0" borderId="1" xfId="0" applyFont="1" applyBorder="1"/>
    <xf numFmtId="0" fontId="0" fillId="0" borderId="0" xfId="0" applyAlignment="1">
      <alignment wrapText="1"/>
    </xf>
    <xf numFmtId="0" fontId="12" fillId="0" borderId="0" xfId="0" applyFont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11" fillId="0" borderId="2" xfId="0" applyFont="1" applyBorder="1"/>
    <xf numFmtId="0" fontId="0" fillId="0" borderId="1" xfId="0" applyFill="1" applyBorder="1"/>
    <xf numFmtId="0" fontId="11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0" fillId="15" borderId="0" xfId="0" applyFill="1"/>
    <xf numFmtId="0" fontId="3" fillId="0" borderId="0" xfId="0" applyFont="1" applyBorder="1"/>
    <xf numFmtId="0" fontId="7" fillId="0" borderId="1" xfId="0" applyFont="1" applyBorder="1"/>
    <xf numFmtId="0" fontId="0" fillId="16" borderId="0" xfId="0" applyFill="1"/>
    <xf numFmtId="0" fontId="0" fillId="0" borderId="0" xfId="0" applyFill="1"/>
    <xf numFmtId="0" fontId="0" fillId="13" borderId="1" xfId="0" applyFill="1" applyBorder="1"/>
    <xf numFmtId="0" fontId="0" fillId="11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4" borderId="1" xfId="0" applyFill="1" applyBorder="1"/>
    <xf numFmtId="0" fontId="3" fillId="7" borderId="1" xfId="0" applyFont="1" applyFill="1" applyBorder="1"/>
    <xf numFmtId="0" fontId="0" fillId="17" borderId="1" xfId="0" applyFill="1" applyBorder="1"/>
    <xf numFmtId="0" fontId="3" fillId="17" borderId="1" xfId="0" applyFont="1" applyFill="1" applyBorder="1"/>
    <xf numFmtId="0" fontId="0" fillId="6" borderId="1" xfId="0" applyFill="1" applyBorder="1"/>
    <xf numFmtId="0" fontId="11" fillId="0" borderId="0" xfId="0" applyFont="1" applyBorder="1"/>
    <xf numFmtId="0" fontId="0" fillId="18" borderId="0" xfId="0" applyFill="1"/>
    <xf numFmtId="0" fontId="0" fillId="6" borderId="0" xfId="0" applyFill="1"/>
    <xf numFmtId="0" fontId="0" fillId="7" borderId="0" xfId="0" applyFill="1"/>
    <xf numFmtId="0" fontId="0" fillId="16" borderId="1" xfId="0" applyFill="1" applyBorder="1"/>
    <xf numFmtId="0" fontId="11" fillId="16" borderId="0" xfId="0" applyFont="1" applyFill="1" applyBorder="1"/>
    <xf numFmtId="0" fontId="11" fillId="16" borderId="0" xfId="0" applyFont="1" applyFill="1"/>
    <xf numFmtId="0" fontId="0" fillId="13" borderId="6" xfId="0" applyFill="1" applyBorder="1"/>
    <xf numFmtId="0" fontId="0" fillId="11" borderId="6" xfId="0" applyFill="1" applyBorder="1"/>
    <xf numFmtId="0" fontId="0" fillId="14" borderId="6" xfId="0" applyFill="1" applyBorder="1"/>
    <xf numFmtId="0" fontId="11" fillId="16" borderId="1" xfId="0" applyFont="1" applyFill="1" applyBorder="1"/>
    <xf numFmtId="0" fontId="3" fillId="2" borderId="1" xfId="0" applyFont="1" applyFill="1" applyBorder="1"/>
    <xf numFmtId="0" fontId="3" fillId="16" borderId="0" xfId="0" applyFont="1" applyFill="1"/>
    <xf numFmtId="0" fontId="5" fillId="16" borderId="0" xfId="0" applyFont="1" applyFill="1"/>
    <xf numFmtId="0" fontId="11" fillId="14" borderId="1" xfId="0" applyFont="1" applyFill="1" applyBorder="1"/>
    <xf numFmtId="0" fontId="0" fillId="0" borderId="0" xfId="0" applyFill="1" applyBorder="1"/>
    <xf numFmtId="0" fontId="0" fillId="19" borderId="1" xfId="0" applyFill="1" applyBorder="1"/>
    <xf numFmtId="0" fontId="14" fillId="0" borderId="0" xfId="0" applyFont="1"/>
    <xf numFmtId="0" fontId="14" fillId="0" borderId="1" xfId="0" applyFont="1" applyBorder="1"/>
    <xf numFmtId="0" fontId="0" fillId="0" borderId="0" xfId="0" applyFont="1"/>
    <xf numFmtId="0" fontId="0" fillId="0" borderId="1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/>
    <xf numFmtId="0" fontId="0" fillId="18" borderId="1" xfId="0" applyFont="1" applyFill="1" applyBorder="1"/>
    <xf numFmtId="0" fontId="16" fillId="0" borderId="1" xfId="1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18" borderId="0" xfId="0" applyFont="1" applyFill="1"/>
    <xf numFmtId="0" fontId="16" fillId="0" borderId="0" xfId="1" applyFont="1"/>
    <xf numFmtId="10" fontId="0" fillId="0" borderId="7" xfId="0" applyNumberFormat="1" applyFont="1" applyBorder="1"/>
    <xf numFmtId="164" fontId="0" fillId="0" borderId="7" xfId="0" applyNumberFormat="1" applyFont="1" applyBorder="1"/>
    <xf numFmtId="10" fontId="0" fillId="0" borderId="0" xfId="0" applyNumberFormat="1" applyFont="1"/>
    <xf numFmtId="0" fontId="0" fillId="0" borderId="0" xfId="0" applyFont="1" applyFill="1" applyBorder="1"/>
    <xf numFmtId="2" fontId="0" fillId="0" borderId="7" xfId="0" applyNumberFormat="1" applyFont="1" applyBorder="1"/>
    <xf numFmtId="0" fontId="0" fillId="0" borderId="1" xfId="0" applyBorder="1" applyAlignment="1">
      <alignment horizontal="center"/>
    </xf>
    <xf numFmtId="0" fontId="0" fillId="18" borderId="1" xfId="0" applyFill="1" applyBorder="1"/>
    <xf numFmtId="0" fontId="0" fillId="13" borderId="1" xfId="0" applyFont="1" applyFill="1" applyBorder="1" applyAlignment="1">
      <alignment horizontal="center"/>
    </xf>
    <xf numFmtId="0" fontId="0" fillId="0" borderId="11" xfId="0" applyFont="1" applyBorder="1"/>
    <xf numFmtId="2" fontId="0" fillId="0" borderId="0" xfId="0" applyNumberFormat="1" applyFont="1" applyBorder="1"/>
    <xf numFmtId="10" fontId="0" fillId="0" borderId="1" xfId="0" applyNumberFormat="1" applyFont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0" fontId="0" fillId="18" borderId="0" xfId="0" applyFont="1" applyFill="1" applyBorder="1"/>
    <xf numFmtId="0" fontId="0" fillId="0" borderId="1" xfId="0" applyFont="1" applyFill="1" applyBorder="1"/>
    <xf numFmtId="0" fontId="0" fillId="18" borderId="7" xfId="0" applyFont="1" applyFill="1" applyBorder="1"/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0" fillId="0" borderId="0" xfId="0" applyFill="1" applyBorder="1" applyAlignment="1">
      <alignment horizontal="center" wrapText="1"/>
    </xf>
    <xf numFmtId="10" fontId="0" fillId="0" borderId="0" xfId="0" applyNumberFormat="1" applyFont="1" applyBorder="1"/>
    <xf numFmtId="0" fontId="0" fillId="0" borderId="0" xfId="0" applyAlignment="1"/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vertical="center"/>
    </xf>
    <xf numFmtId="0" fontId="20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8" fontId="7" fillId="0" borderId="0" xfId="0" applyNumberFormat="1" applyFont="1" applyAlignment="1">
      <alignment horizontal="left" vertical="center"/>
    </xf>
    <xf numFmtId="0" fontId="0" fillId="2" borderId="0" xfId="0" applyFill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21" borderId="0" xfId="0" applyFill="1" applyAlignment="1"/>
    <xf numFmtId="0" fontId="1" fillId="21" borderId="0" xfId="0" applyFont="1" applyFill="1" applyAlignment="1">
      <alignment horizontal="left" vertical="center"/>
    </xf>
    <xf numFmtId="0" fontId="0" fillId="0" borderId="18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2" fontId="0" fillId="0" borderId="24" xfId="0" applyNumberFormat="1" applyBorder="1" applyAlignment="1">
      <alignment horizontal="right" vertical="center" wrapText="1"/>
    </xf>
    <xf numFmtId="2" fontId="0" fillId="0" borderId="22" xfId="0" applyNumberFormat="1" applyBorder="1" applyAlignment="1">
      <alignment horizontal="right" vertical="center" wrapText="1"/>
    </xf>
    <xf numFmtId="2" fontId="0" fillId="0" borderId="23" xfId="0" applyNumberFormat="1" applyBorder="1" applyAlignment="1">
      <alignment horizontal="justify" vertical="center" wrapText="1"/>
    </xf>
    <xf numFmtId="2" fontId="0" fillId="0" borderId="21" xfId="0" applyNumberFormat="1" applyBorder="1" applyAlignment="1">
      <alignment horizontal="justify" vertical="center" wrapText="1"/>
    </xf>
    <xf numFmtId="2" fontId="0" fillId="0" borderId="1" xfId="0" applyNumberFormat="1" applyBorder="1"/>
    <xf numFmtId="2" fontId="0" fillId="0" borderId="0" xfId="0" applyNumberFormat="1"/>
    <xf numFmtId="0" fontId="5" fillId="0" borderId="0" xfId="0" applyFont="1"/>
    <xf numFmtId="0" fontId="20" fillId="0" borderId="0" xfId="0" applyFont="1"/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20" borderId="17" xfId="3"/>
    <xf numFmtId="10" fontId="18" fillId="20" borderId="17" xfId="2" applyNumberFormat="1" applyFont="1" applyFill="1" applyBorder="1"/>
    <xf numFmtId="10" fontId="0" fillId="0" borderId="0" xfId="0" applyNumberFormat="1"/>
    <xf numFmtId="0" fontId="0" fillId="22" borderId="0" xfId="0" applyFill="1"/>
    <xf numFmtId="2" fontId="0" fillId="0" borderId="26" xfId="0" applyNumberFormat="1" applyBorder="1" applyAlignment="1">
      <alignment horizontal="right" vertical="center" wrapText="1"/>
    </xf>
    <xf numFmtId="2" fontId="0" fillId="0" borderId="18" xfId="0" applyNumberFormat="1" applyBorder="1" applyAlignment="1">
      <alignment horizontal="justify" vertical="center" wrapText="1"/>
    </xf>
    <xf numFmtId="2" fontId="0" fillId="0" borderId="22" xfId="0" applyNumberFormat="1" applyBorder="1" applyAlignment="1">
      <alignment horizontal="justify" vertical="center" wrapText="1"/>
    </xf>
    <xf numFmtId="2" fontId="0" fillId="0" borderId="22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right" vertical="center" wrapText="1"/>
    </xf>
    <xf numFmtId="1" fontId="0" fillId="0" borderId="1" xfId="0" applyNumberFormat="1" applyBorder="1"/>
    <xf numFmtId="1" fontId="0" fillId="0" borderId="0" xfId="0" applyNumberFormat="1"/>
    <xf numFmtId="1" fontId="0" fillId="0" borderId="22" xfId="0" applyNumberFormat="1" applyBorder="1" applyAlignment="1">
      <alignment horizontal="right" vertical="center" wrapText="1"/>
    </xf>
    <xf numFmtId="1" fontId="0" fillId="0" borderId="26" xfId="0" applyNumberFormat="1" applyBorder="1" applyAlignment="1">
      <alignment horizontal="right" vertical="center" wrapText="1"/>
    </xf>
    <xf numFmtId="1" fontId="0" fillId="0" borderId="27" xfId="0" applyNumberFormat="1" applyBorder="1" applyAlignment="1">
      <alignment horizontal="right" vertical="center" wrapText="1"/>
    </xf>
    <xf numFmtId="2" fontId="18" fillId="20" borderId="17" xfId="3" applyNumberFormat="1" applyAlignment="1">
      <alignment horizontal="right" vertical="center" wrapText="1"/>
    </xf>
    <xf numFmtId="0" fontId="25" fillId="0" borderId="0" xfId="0" applyFont="1"/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23" borderId="0" xfId="0" applyFill="1"/>
    <xf numFmtId="0" fontId="18" fillId="23" borderId="17" xfId="3" applyFill="1"/>
    <xf numFmtId="0" fontId="0" fillId="10" borderId="0" xfId="0" applyFill="1"/>
    <xf numFmtId="0" fontId="18" fillId="10" borderId="17" xfId="3" applyFill="1"/>
    <xf numFmtId="0" fontId="7" fillId="0" borderId="0" xfId="0" applyFont="1"/>
    <xf numFmtId="0" fontId="0" fillId="8" borderId="0" xfId="0" applyFill="1"/>
    <xf numFmtId="0" fontId="18" fillId="8" borderId="17" xfId="3" applyFill="1"/>
    <xf numFmtId="0" fontId="18" fillId="6" borderId="17" xfId="3" applyFill="1"/>
    <xf numFmtId="0" fontId="18" fillId="17" borderId="17" xfId="3" applyFill="1"/>
    <xf numFmtId="0" fontId="0" fillId="17" borderId="0" xfId="0" applyFill="1"/>
    <xf numFmtId="0" fontId="0" fillId="24" borderId="0" xfId="0" applyFill="1"/>
    <xf numFmtId="0" fontId="0" fillId="13" borderId="29" xfId="0" applyFill="1" applyBorder="1"/>
    <xf numFmtId="1" fontId="0" fillId="0" borderId="29" xfId="0" applyNumberFormat="1" applyFill="1" applyBorder="1"/>
    <xf numFmtId="1" fontId="0" fillId="2" borderId="29" xfId="0" applyNumberFormat="1" applyFill="1" applyBorder="1"/>
    <xf numFmtId="0" fontId="0" fillId="23" borderId="1" xfId="0" applyFill="1" applyBorder="1"/>
    <xf numFmtId="0" fontId="0" fillId="10" borderId="1" xfId="0" applyFill="1" applyBorder="1"/>
    <xf numFmtId="0" fontId="5" fillId="0" borderId="0" xfId="0" applyFont="1" applyAlignment="1"/>
    <xf numFmtId="0" fontId="0" fillId="0" borderId="0" xfId="0" applyAlignmen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 applyAlignment="1"/>
    <xf numFmtId="0" fontId="5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6" fillId="0" borderId="0" xfId="0" applyFont="1" applyAlignment="1"/>
    <xf numFmtId="0" fontId="20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2" fillId="0" borderId="0" xfId="0" applyFont="1" applyAlignment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3" fillId="16" borderId="0" xfId="0" applyFont="1" applyFill="1" applyAlignment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3" fillId="0" borderId="0" xfId="0" applyFont="1" applyFill="1" applyAlignment="1"/>
    <xf numFmtId="0" fontId="3" fillId="0" borderId="0" xfId="0" applyFont="1" applyAlignment="1"/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4" borderId="0" xfId="0" applyFont="1" applyFill="1" applyAlignment="1"/>
    <xf numFmtId="0" fontId="7" fillId="0" borderId="0" xfId="0" applyFont="1" applyAlignment="1"/>
    <xf numFmtId="0" fontId="0" fillId="8" borderId="2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4" xfId="0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8" borderId="1" xfId="0" applyFill="1" applyBorder="1" applyAlignment="1"/>
    <xf numFmtId="0" fontId="0" fillId="8" borderId="1" xfId="0" applyFont="1" applyFill="1" applyBorder="1" applyAlignment="1"/>
    <xf numFmtId="0" fontId="0" fillId="3" borderId="1" xfId="0" applyFont="1" applyFill="1" applyBorder="1" applyAlignment="1"/>
    <xf numFmtId="0" fontId="0" fillId="14" borderId="15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19" borderId="8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2" fontId="0" fillId="0" borderId="25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right" vertical="center" wrapText="1"/>
    </xf>
    <xf numFmtId="2" fontId="0" fillId="0" borderId="27" xfId="0" applyNumberFormat="1" applyBorder="1" applyAlignment="1">
      <alignment horizontal="right" vertical="center" wrapText="1"/>
    </xf>
    <xf numFmtId="2" fontId="0" fillId="0" borderId="28" xfId="0" applyNumberFormat="1" applyBorder="1" applyAlignment="1">
      <alignment horizontal="right" vertical="center" wrapText="1"/>
    </xf>
  </cellXfs>
  <cellStyles count="194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Normal" xfId="0" builtinId="0"/>
    <cellStyle name="Pourcentage" xfId="2" builtinId="5"/>
    <cellStyle name="Sortie" xfId="3" builtinId="21"/>
    <cellStyle name="Vert" xfId="1"/>
  </cellStyles>
  <dxfs count="4">
    <dxf>
      <font>
        <color rgb="FF00FF00"/>
      </font>
    </dxf>
    <dxf>
      <font>
        <color rgb="FFFF0000"/>
      </font>
    </dxf>
    <dxf>
      <font>
        <color rgb="FF00FF00"/>
      </font>
    </dxf>
    <dxf>
      <font>
        <color rgb="FFFF0000"/>
      </font>
    </dxf>
  </dxfs>
  <tableStyles count="0" defaultTableStyle="TableStyleMedium9" defaultPivotStyle="PivotStyleLight16"/>
  <colors>
    <mruColors>
      <color rgb="FFF496DB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0</xdr:row>
      <xdr:rowOff>180976</xdr:rowOff>
    </xdr:from>
    <xdr:to>
      <xdr:col>10</xdr:col>
      <xdr:colOff>95250</xdr:colOff>
      <xdr:row>3</xdr:row>
      <xdr:rowOff>257176</xdr:rowOff>
    </xdr:to>
    <xdr:sp macro="" textlink="">
      <xdr:nvSpPr>
        <xdr:cNvPr id="2" name="ZoneTexte 1"/>
        <xdr:cNvSpPr txBox="1"/>
      </xdr:nvSpPr>
      <xdr:spPr>
        <a:xfrm>
          <a:off x="4029075" y="180976"/>
          <a:ext cx="50196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du 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755649</xdr:colOff>
      <xdr:row>107</xdr:row>
      <xdr:rowOff>149224</xdr:rowOff>
    </xdr:from>
    <xdr:to>
      <xdr:col>13</xdr:col>
      <xdr:colOff>219075</xdr:colOff>
      <xdr:row>127</xdr:row>
      <xdr:rowOff>38100</xdr:rowOff>
    </xdr:to>
    <xdr:sp macro="" textlink="">
      <xdr:nvSpPr>
        <xdr:cNvPr id="2" name="ZoneTexte 1"/>
        <xdr:cNvSpPr txBox="1"/>
      </xdr:nvSpPr>
      <xdr:spPr>
        <a:xfrm>
          <a:off x="1670049" y="20380324"/>
          <a:ext cx="11198226" cy="344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800" b="1"/>
            <a:t>Rappels</a:t>
          </a:r>
        </a:p>
        <a:p>
          <a:r>
            <a:rPr lang="fr-FR" sz="1100" spc="300" baseline="0"/>
            <a:t>écart de compo</a:t>
          </a:r>
        </a:p>
        <a:p>
          <a:r>
            <a:rPr lang="fr-FR" sz="1100"/>
            <a:t>(compor - compo p) QTr *mup</a:t>
          </a:r>
        </a:p>
        <a:p>
          <a:r>
            <a:rPr lang="fr-FR" sz="1100"/>
            <a:t>ou</a:t>
          </a:r>
        </a:p>
        <a:p>
          <a:r>
            <a:rPr lang="fr-FR" sz="1100"/>
            <a:t>((compor* QTr)- (compop*QTr))mup</a:t>
          </a:r>
        </a:p>
        <a:p>
          <a:r>
            <a:rPr lang="fr-FR" sz="1100"/>
            <a:t>on fait la différence entre les quantités de produits réel  et les quantités de produit que l'on aurait eu si on avait eu la</a:t>
          </a:r>
          <a:r>
            <a:rPr lang="fr-FR" sz="1100" baseline="0"/>
            <a:t> composition préétablie</a:t>
          </a:r>
        </a:p>
        <a:p>
          <a:endParaRPr lang="fr-FR" sz="1100" baseline="0"/>
        </a:p>
        <a:p>
          <a:pPr marL="0" indent="0"/>
          <a:r>
            <a:rPr lang="fr-FR" sz="1100" spc="300" baseline="0">
              <a:solidFill>
                <a:schemeClr val="dk1"/>
              </a:solidFill>
              <a:latin typeface="+mn-lt"/>
              <a:ea typeface="+mn-ea"/>
              <a:cs typeface="+mn-cs"/>
            </a:rPr>
            <a:t>écart de vol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(QTr - QTp) compop *mup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ou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((compop* QTr)- (compop*QTrp)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)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mup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on fait la différence entre les quantités de produit que l'on aurait eu si on avait eu la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composition préétablie et les quantités de produits préétablies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ou 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(QTr-QTp)*mmpp</a:t>
          </a:r>
        </a:p>
        <a:p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fr-FR" sz="1100" spc="300" baseline="0">
              <a:solidFill>
                <a:schemeClr val="dk1"/>
              </a:solidFill>
              <a:latin typeface="+mn-lt"/>
              <a:ea typeface="+mn-ea"/>
              <a:cs typeface="+mn-cs"/>
            </a:rPr>
            <a:t>écart de marge unitaire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(mur-mup)Qr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3</xdr:col>
      <xdr:colOff>247650</xdr:colOff>
      <xdr:row>0</xdr:row>
      <xdr:rowOff>142876</xdr:rowOff>
    </xdr:from>
    <xdr:to>
      <xdr:col>9</xdr:col>
      <xdr:colOff>657225</xdr:colOff>
      <xdr:row>5</xdr:row>
      <xdr:rowOff>101600</xdr:rowOff>
    </xdr:to>
    <xdr:sp macro="" textlink="">
      <xdr:nvSpPr>
        <xdr:cNvPr id="5" name="ZoneTexte 4"/>
        <xdr:cNvSpPr txBox="1"/>
      </xdr:nvSpPr>
      <xdr:spPr>
        <a:xfrm>
          <a:off x="2813050" y="142876"/>
          <a:ext cx="5362575" cy="9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marge</a:t>
          </a:r>
        </a:p>
      </xdr:txBody>
    </xdr:sp>
    <xdr:clientData/>
  </xdr:twoCellAnchor>
  <xdr:twoCellAnchor>
    <xdr:from>
      <xdr:col>10</xdr:col>
      <xdr:colOff>390525</xdr:colOff>
      <xdr:row>76</xdr:row>
      <xdr:rowOff>38100</xdr:rowOff>
    </xdr:from>
    <xdr:to>
      <xdr:col>14</xdr:col>
      <xdr:colOff>533400</xdr:colOff>
      <xdr:row>82</xdr:row>
      <xdr:rowOff>38100</xdr:rowOff>
    </xdr:to>
    <xdr:sp macro="" textlink="">
      <xdr:nvSpPr>
        <xdr:cNvPr id="6" name="ZoneTexte 5"/>
        <xdr:cNvSpPr txBox="1"/>
      </xdr:nvSpPr>
      <xdr:spPr>
        <a:xfrm>
          <a:off x="8048625" y="7343775"/>
          <a:ext cx="31908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mmpp</a:t>
          </a:r>
          <a:r>
            <a:rPr lang="fr-FR" sz="1100" baseline="0"/>
            <a:t> : marge moyenne préétablie pondérée</a:t>
          </a:r>
        </a:p>
        <a:p>
          <a:r>
            <a:rPr lang="fr-FR" sz="1100" baseline="0"/>
            <a:t>= ((0,15*1200)+(0,3*800))/2000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0</xdr:rowOff>
    </xdr:from>
    <xdr:to>
      <xdr:col>10</xdr:col>
      <xdr:colOff>123825</xdr:colOff>
      <xdr:row>5</xdr:row>
      <xdr:rowOff>142875</xdr:rowOff>
    </xdr:to>
    <xdr:sp macro="" textlink="">
      <xdr:nvSpPr>
        <xdr:cNvPr id="3" name="ZoneTexte 2"/>
        <xdr:cNvSpPr txBox="1"/>
      </xdr:nvSpPr>
      <xdr:spPr>
        <a:xfrm>
          <a:off x="3286125" y="0"/>
          <a:ext cx="50196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marge</a:t>
          </a:r>
        </a:p>
      </xdr:txBody>
    </xdr:sp>
    <xdr:clientData/>
  </xdr:twoCellAnchor>
  <xdr:twoCellAnchor>
    <xdr:from>
      <xdr:col>3</xdr:col>
      <xdr:colOff>133350</xdr:colOff>
      <xdr:row>48</xdr:row>
      <xdr:rowOff>133350</xdr:rowOff>
    </xdr:from>
    <xdr:to>
      <xdr:col>8</xdr:col>
      <xdr:colOff>933450</xdr:colOff>
      <xdr:row>55</xdr:row>
      <xdr:rowOff>142875</xdr:rowOff>
    </xdr:to>
    <xdr:sp macro="" textlink="">
      <xdr:nvSpPr>
        <xdr:cNvPr id="4" name="ZoneTexte 3"/>
        <xdr:cNvSpPr txBox="1"/>
      </xdr:nvSpPr>
      <xdr:spPr>
        <a:xfrm>
          <a:off x="2419350" y="9058275"/>
          <a:ext cx="4695825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Il y a</a:t>
          </a:r>
          <a:r>
            <a:rPr lang="fr-FR" sz="1100" baseline="0"/>
            <a:t> plusieurs façons de décomposer les écarts sur volume et sur compo</a:t>
          </a:r>
        </a:p>
        <a:p>
          <a:r>
            <a:rPr lang="fr-FR" sz="1100" spc="300" baseline="0"/>
            <a:t>pour le volume</a:t>
          </a:r>
          <a:r>
            <a:rPr lang="fr-FR" sz="1100" baseline="0"/>
            <a:t>:</a:t>
          </a:r>
        </a:p>
        <a:p>
          <a:r>
            <a:rPr lang="fr-FR" sz="1100" baseline="0"/>
            <a:t>- 1 en utilisant la formule factorisée (QTr-QTp)*compop*mup pour chaque produit</a:t>
          </a:r>
        </a:p>
        <a:p>
          <a:r>
            <a:rPr lang="fr-FR" sz="1100" baseline="0"/>
            <a:t>- 2 en utilisant la mmpp (QTr-QTP)*mmpp</a:t>
          </a:r>
        </a:p>
        <a:p>
          <a:r>
            <a:rPr lang="fr-FR" sz="1100" baseline="0"/>
            <a:t>- 3 en utilisant la formule développée ((QTr*compop)-(QTp*compop))*mup pour chaque produits</a:t>
          </a:r>
        </a:p>
        <a:p>
          <a:endParaRPr lang="fr-FR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spc="3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la compo:</a:t>
          </a:r>
        </a:p>
        <a:p>
          <a:r>
            <a:rPr lang="fr-FR" sz="1100"/>
            <a:t>-1 en utilisant la formule factorisée (compor -compop)</a:t>
          </a:r>
          <a:r>
            <a:rPr lang="fr-FR" sz="1100" baseline="0"/>
            <a:t> *QTr*mup</a:t>
          </a:r>
        </a:p>
        <a:p>
          <a:r>
            <a:rPr lang="fr-FR" sz="1100" baseline="0"/>
            <a:t>-2 en utilisant la formule développée ((compor*QTr)-(compop*QTr))*mup</a:t>
          </a:r>
        </a:p>
        <a:p>
          <a:endParaRPr lang="fr-FR" sz="1100"/>
        </a:p>
      </xdr:txBody>
    </xdr:sp>
    <xdr:clientData/>
  </xdr:twoCellAnchor>
  <xdr:twoCellAnchor>
    <xdr:from>
      <xdr:col>0</xdr:col>
      <xdr:colOff>0</xdr:colOff>
      <xdr:row>81</xdr:row>
      <xdr:rowOff>25400</xdr:rowOff>
    </xdr:from>
    <xdr:to>
      <xdr:col>6</xdr:col>
      <xdr:colOff>114300</xdr:colOff>
      <xdr:row>94</xdr:row>
      <xdr:rowOff>47625</xdr:rowOff>
    </xdr:to>
    <xdr:sp macro="" textlink="">
      <xdr:nvSpPr>
        <xdr:cNvPr id="5" name="ZoneTexte 4"/>
        <xdr:cNvSpPr txBox="1"/>
      </xdr:nvSpPr>
      <xdr:spPr>
        <a:xfrm>
          <a:off x="0" y="16167100"/>
          <a:ext cx="5067300" cy="233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écart</a:t>
          </a:r>
          <a:r>
            <a:rPr lang="fr-FR" sz="1100" baseline="0"/>
            <a:t> de marge</a:t>
          </a:r>
        </a:p>
        <a:p>
          <a:r>
            <a:rPr lang="fr-FR" sz="1100" baseline="0"/>
            <a:t>(TMR * </a:t>
          </a:r>
          <a:r>
            <a:rPr lang="fr-FR" sz="1100" baseline="0">
              <a:solidFill>
                <a:srgbClr val="FF0000"/>
              </a:solidFill>
            </a:rPr>
            <a:t>compo R </a:t>
          </a:r>
          <a:r>
            <a:rPr lang="fr-FR" sz="1100" baseline="0"/>
            <a:t>- TMP * </a:t>
          </a:r>
          <a:r>
            <a:rPr lang="fr-FR" sz="1100" baseline="0">
              <a:solidFill>
                <a:srgbClr val="FF0000"/>
              </a:solidFill>
            </a:rPr>
            <a:t>compoR</a:t>
          </a:r>
          <a:r>
            <a:rPr lang="fr-FR" sz="1100" baseline="0"/>
            <a:t>)* CAR</a:t>
          </a:r>
        </a:p>
        <a:p>
          <a:endParaRPr lang="fr-FR" sz="1100" baseline="0"/>
        </a:p>
        <a:p>
          <a:r>
            <a:rPr lang="fr-FR" sz="1100" baseline="0"/>
            <a:t>Ecart de compo</a:t>
          </a:r>
        </a:p>
        <a:p>
          <a:r>
            <a:rPr lang="fr-FR" sz="1100" baseline="0">
              <a:solidFill>
                <a:srgbClr val="FF0000"/>
              </a:solidFill>
            </a:rPr>
            <a:t>(TMP </a:t>
          </a:r>
          <a:r>
            <a:rPr lang="fr-FR" sz="1100" baseline="0"/>
            <a:t>* compo R-</a:t>
          </a:r>
          <a:r>
            <a:rPr lang="fr-FR" sz="1100" baseline="0">
              <a:solidFill>
                <a:srgbClr val="FF0000"/>
              </a:solidFill>
            </a:rPr>
            <a:t> TMP </a:t>
          </a:r>
          <a:r>
            <a:rPr lang="fr-FR" sz="1100" baseline="0"/>
            <a:t>* compo P)° CAR</a:t>
          </a:r>
        </a:p>
        <a:p>
          <a:endParaRPr lang="fr-FR" sz="1100" baseline="0"/>
        </a:p>
        <a:p>
          <a:r>
            <a:rPr lang="fr-FR" sz="1100" baseline="0"/>
            <a:t>écart de volume</a:t>
          </a:r>
        </a:p>
        <a:p>
          <a:r>
            <a:rPr lang="fr-FR" sz="1100" baseline="0"/>
            <a:t>(CAR- CAP) * TMMP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47625</xdr:rowOff>
    </xdr:from>
    <xdr:to>
      <xdr:col>12</xdr:col>
      <xdr:colOff>628650</xdr:colOff>
      <xdr:row>5</xdr:row>
      <xdr:rowOff>0</xdr:rowOff>
    </xdr:to>
    <xdr:sp macro="" textlink="">
      <xdr:nvSpPr>
        <xdr:cNvPr id="2" name="ZoneTexte 1"/>
        <xdr:cNvSpPr txBox="1"/>
      </xdr:nvSpPr>
      <xdr:spPr>
        <a:xfrm>
          <a:off x="4752975" y="238125"/>
          <a:ext cx="50196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marge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1</xdr:rowOff>
    </xdr:from>
    <xdr:to>
      <xdr:col>10</xdr:col>
      <xdr:colOff>114300</xdr:colOff>
      <xdr:row>4</xdr:row>
      <xdr:rowOff>152401</xdr:rowOff>
    </xdr:to>
    <xdr:sp macro="" textlink="">
      <xdr:nvSpPr>
        <xdr:cNvPr id="2" name="ZoneTexte 1"/>
        <xdr:cNvSpPr txBox="1"/>
      </xdr:nvSpPr>
      <xdr:spPr>
        <a:xfrm>
          <a:off x="2657475" y="190501"/>
          <a:ext cx="62579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production</a:t>
          </a:r>
        </a:p>
      </xdr:txBody>
    </xdr:sp>
    <xdr:clientData/>
  </xdr:twoCellAnchor>
  <xdr:twoCellAnchor>
    <xdr:from>
      <xdr:col>13</xdr:col>
      <xdr:colOff>571500</xdr:colOff>
      <xdr:row>45</xdr:row>
      <xdr:rowOff>50800</xdr:rowOff>
    </xdr:from>
    <xdr:to>
      <xdr:col>15</xdr:col>
      <xdr:colOff>495300</xdr:colOff>
      <xdr:row>49</xdr:row>
      <xdr:rowOff>76200</xdr:rowOff>
    </xdr:to>
    <xdr:sp macro="" textlink="">
      <xdr:nvSpPr>
        <xdr:cNvPr id="3" name="ZoneTexte 2"/>
        <xdr:cNvSpPr txBox="1"/>
      </xdr:nvSpPr>
      <xdr:spPr>
        <a:xfrm>
          <a:off x="12750800" y="8623300"/>
          <a:ext cx="15748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10000=50000</a:t>
          </a:r>
        </a:p>
        <a:p>
          <a:r>
            <a:rPr lang="fr-FR" sz="1100"/>
            <a:t>x=45000</a:t>
          </a:r>
        </a:p>
      </xdr:txBody>
    </xdr:sp>
    <xdr:clientData/>
  </xdr:twoCellAnchor>
  <xdr:twoCellAnchor>
    <xdr:from>
      <xdr:col>10</xdr:col>
      <xdr:colOff>12700</xdr:colOff>
      <xdr:row>70</xdr:row>
      <xdr:rowOff>152400</xdr:rowOff>
    </xdr:from>
    <xdr:to>
      <xdr:col>13</xdr:col>
      <xdr:colOff>571500</xdr:colOff>
      <xdr:row>75</xdr:row>
      <xdr:rowOff>25400</xdr:rowOff>
    </xdr:to>
    <xdr:sp macro="" textlink="">
      <xdr:nvSpPr>
        <xdr:cNvPr id="4" name="ZoneTexte 3"/>
        <xdr:cNvSpPr txBox="1"/>
      </xdr:nvSpPr>
      <xdr:spPr>
        <a:xfrm>
          <a:off x="9715500" y="13335000"/>
          <a:ext cx="3035300" cy="78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par</a:t>
          </a:r>
          <a:r>
            <a:rPr lang="fr-FR" sz="1100" baseline="0"/>
            <a:t> déduction on trouve le cout des CI</a:t>
          </a:r>
        </a:p>
        <a:p>
          <a:r>
            <a:rPr lang="fr-FR" sz="1100" baseline="0"/>
            <a:t>et la clé de répartition est la MOD</a:t>
          </a:r>
          <a:endParaRPr lang="fr-FR" sz="1100"/>
        </a:p>
      </xdr:txBody>
    </xdr:sp>
    <xdr:clientData/>
  </xdr:twoCellAnchor>
  <xdr:twoCellAnchor>
    <xdr:from>
      <xdr:col>8</xdr:col>
      <xdr:colOff>444500</xdr:colOff>
      <xdr:row>76</xdr:row>
      <xdr:rowOff>0</xdr:rowOff>
    </xdr:from>
    <xdr:to>
      <xdr:col>10</xdr:col>
      <xdr:colOff>711200</xdr:colOff>
      <xdr:row>84</xdr:row>
      <xdr:rowOff>25400</xdr:rowOff>
    </xdr:to>
    <xdr:sp macro="" textlink="">
      <xdr:nvSpPr>
        <xdr:cNvPr id="5" name="ZoneTexte 4"/>
        <xdr:cNvSpPr txBox="1"/>
      </xdr:nvSpPr>
      <xdr:spPr>
        <a:xfrm>
          <a:off x="8496300" y="14274800"/>
          <a:ext cx="191770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budget standard</a:t>
          </a:r>
        </a:p>
        <a:p>
          <a:r>
            <a:rPr lang="fr-FR" sz="1100"/>
            <a:t>188</a:t>
          </a:r>
        </a:p>
        <a:p>
          <a:r>
            <a:rPr lang="fr-FR" sz="1100"/>
            <a:t>100 CF</a:t>
          </a:r>
        </a:p>
        <a:p>
          <a:r>
            <a:rPr lang="fr-FR" sz="1100"/>
            <a:t>88 CV</a:t>
          </a:r>
        </a:p>
        <a:p>
          <a:r>
            <a:rPr lang="fr-FR" sz="1100"/>
            <a:t>CV 600 * 88</a:t>
          </a:r>
        </a:p>
        <a:p>
          <a:r>
            <a:rPr lang="fr-FR" sz="1100"/>
            <a:t>CF 600*100</a:t>
          </a:r>
        </a:p>
        <a:p>
          <a:r>
            <a:rPr lang="fr-FR" sz="1100"/>
            <a:t>total 112800</a:t>
          </a:r>
        </a:p>
        <a:p>
          <a:endParaRPr lang="fr-FR" sz="1100"/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8</xdr:col>
      <xdr:colOff>266700</xdr:colOff>
      <xdr:row>83</xdr:row>
      <xdr:rowOff>114300</xdr:rowOff>
    </xdr:to>
    <xdr:sp macro="" textlink="">
      <xdr:nvSpPr>
        <xdr:cNvPr id="6" name="ZoneTexte 5"/>
        <xdr:cNvSpPr txBox="1"/>
      </xdr:nvSpPr>
      <xdr:spPr>
        <a:xfrm>
          <a:off x="6400800" y="14274800"/>
          <a:ext cx="1917700" cy="135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budget flexible</a:t>
          </a:r>
        </a:p>
        <a:p>
          <a:r>
            <a:rPr lang="fr-FR" sz="1100"/>
            <a:t>188</a:t>
          </a:r>
        </a:p>
        <a:p>
          <a:r>
            <a:rPr lang="fr-FR" sz="1100"/>
            <a:t>100 CF</a:t>
          </a:r>
        </a:p>
        <a:p>
          <a:r>
            <a:rPr lang="fr-FR" sz="1100"/>
            <a:t>88 CV</a:t>
          </a:r>
        </a:p>
        <a:p>
          <a:r>
            <a:rPr lang="fr-FR" sz="1100"/>
            <a:t>CV 550 * 88</a:t>
          </a:r>
        </a:p>
        <a:p>
          <a:r>
            <a:rPr lang="fr-FR" sz="1100"/>
            <a:t>CF 600*100</a:t>
          </a:r>
        </a:p>
        <a:p>
          <a:r>
            <a:rPr lang="fr-FR" sz="1100"/>
            <a:t>total 108400</a:t>
          </a:r>
        </a:p>
        <a:p>
          <a:endParaRPr lang="fr-FR" sz="1100"/>
        </a:p>
      </xdr:txBody>
    </xdr:sp>
    <xdr:clientData/>
  </xdr:twoCellAnchor>
  <xdr:twoCellAnchor>
    <xdr:from>
      <xdr:col>9</xdr:col>
      <xdr:colOff>254000</xdr:colOff>
      <xdr:row>84</xdr:row>
      <xdr:rowOff>63500</xdr:rowOff>
    </xdr:from>
    <xdr:to>
      <xdr:col>14</xdr:col>
      <xdr:colOff>660400</xdr:colOff>
      <xdr:row>94</xdr:row>
      <xdr:rowOff>0</xdr:rowOff>
    </xdr:to>
    <xdr:sp macro="" textlink="">
      <xdr:nvSpPr>
        <xdr:cNvPr id="7" name="ZoneTexte 6"/>
        <xdr:cNvSpPr txBox="1"/>
      </xdr:nvSpPr>
      <xdr:spPr>
        <a:xfrm>
          <a:off x="9131300" y="15760700"/>
          <a:ext cx="453390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Ecart sur budget :</a:t>
          </a:r>
          <a:r>
            <a:rPr lang="fr-FR" sz="1100" baseline="0"/>
            <a:t> charges réelles - budget flexible</a:t>
          </a:r>
          <a:endParaRPr lang="fr-FR" sz="1100"/>
        </a:p>
        <a:p>
          <a:r>
            <a:rPr lang="fr-FR" sz="1100"/>
            <a:t>93324</a:t>
          </a:r>
          <a:r>
            <a:rPr lang="fr-FR" sz="1100" baseline="0"/>
            <a:t> - 108400 =--15076</a:t>
          </a:r>
        </a:p>
        <a:p>
          <a:endParaRPr lang="fr-FR" sz="1100"/>
        </a:p>
        <a:p>
          <a:r>
            <a:rPr lang="fr-FR" sz="1100"/>
            <a:t>Ecart sur activité :</a:t>
          </a:r>
          <a:r>
            <a:rPr lang="fr-FR" sz="1100" baseline="0"/>
            <a:t> budget flexible - cout préétabli de l'activité réelle</a:t>
          </a:r>
          <a:endParaRPr lang="fr-FR" sz="1100"/>
        </a:p>
        <a:p>
          <a:r>
            <a:rPr lang="fr-FR" sz="1100"/>
            <a:t>108400 -550*188= 5000</a:t>
          </a:r>
        </a:p>
        <a:p>
          <a:endParaRPr lang="fr-FR" sz="1100"/>
        </a:p>
        <a:p>
          <a:r>
            <a:rPr lang="fr-FR" sz="1100"/>
            <a:t>Ecart sur rendement: cout préétabli de l'activité réelle - cout préétabli de la production ajusté</a:t>
          </a:r>
        </a:p>
        <a:p>
          <a:r>
            <a:rPr lang="fr-FR" sz="1100"/>
            <a:t>550*188-188*574= -4512</a:t>
          </a:r>
        </a:p>
        <a:p>
          <a:endParaRPr lang="fr-FR" sz="1100"/>
        </a:p>
        <a:p>
          <a:r>
            <a:rPr lang="fr-FR" sz="1100"/>
            <a:t>total</a:t>
          </a:r>
          <a:r>
            <a:rPr lang="fr-FR" sz="1100" baseline="0"/>
            <a:t> -14588</a:t>
          </a:r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57150</xdr:rowOff>
    </xdr:from>
    <xdr:to>
      <xdr:col>9</xdr:col>
      <xdr:colOff>476250</xdr:colOff>
      <xdr:row>4</xdr:row>
      <xdr:rowOff>66675</xdr:rowOff>
    </xdr:to>
    <xdr:sp macro="" textlink="">
      <xdr:nvSpPr>
        <xdr:cNvPr id="2" name="ZoneTexte 1"/>
        <xdr:cNvSpPr txBox="1"/>
      </xdr:nvSpPr>
      <xdr:spPr>
        <a:xfrm>
          <a:off x="2228850" y="57150"/>
          <a:ext cx="625792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production</a:t>
          </a:r>
        </a:p>
      </xdr:txBody>
    </xdr:sp>
    <xdr:clientData/>
  </xdr:twoCellAnchor>
  <xdr:twoCellAnchor>
    <xdr:from>
      <xdr:col>9</xdr:col>
      <xdr:colOff>571500</xdr:colOff>
      <xdr:row>80</xdr:row>
      <xdr:rowOff>165100</xdr:rowOff>
    </xdr:from>
    <xdr:to>
      <xdr:col>17</xdr:col>
      <xdr:colOff>0</xdr:colOff>
      <xdr:row>90</xdr:row>
      <xdr:rowOff>139700</xdr:rowOff>
    </xdr:to>
    <xdr:sp macro="" textlink="">
      <xdr:nvSpPr>
        <xdr:cNvPr id="3" name="ZoneTexte 2"/>
        <xdr:cNvSpPr txBox="1"/>
      </xdr:nvSpPr>
      <xdr:spPr>
        <a:xfrm>
          <a:off x="9652000" y="14947900"/>
          <a:ext cx="6032500" cy="189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Ecart sur rendement: expliquer les causes de l'écart</a:t>
          </a:r>
          <a:r>
            <a:rPr lang="fr-FR" sz="1100" baseline="0"/>
            <a:t> global due à la dégration de la productivité</a:t>
          </a:r>
        </a:p>
        <a:p>
          <a:r>
            <a:rPr lang="fr-FR" sz="1100" baseline="0"/>
            <a:t>charge indirecte préétabli activité réelle du centre -CT préétabli de la production constatée</a:t>
          </a:r>
        </a:p>
        <a:p>
          <a:endParaRPr lang="fr-FR" sz="1100"/>
        </a:p>
        <a:p>
          <a:r>
            <a:rPr lang="fr-FR" sz="1100"/>
            <a:t>Ecart sur activité; pour prendre en compte les charges de structures </a:t>
          </a:r>
        </a:p>
        <a:p>
          <a:r>
            <a:rPr lang="fr-FR" sz="1100"/>
            <a:t>Budget flexible du centre - charges indirecte</a:t>
          </a:r>
          <a:r>
            <a:rPr lang="fr-FR" sz="1100" baseline="0"/>
            <a:t> préétabli de l'activité réelle du centre</a:t>
          </a:r>
        </a:p>
        <a:p>
          <a:endParaRPr lang="fr-FR" sz="1100"/>
        </a:p>
      </xdr:txBody>
    </xdr:sp>
    <xdr:clientData/>
  </xdr:twoCellAnchor>
  <xdr:twoCellAnchor>
    <xdr:from>
      <xdr:col>8</xdr:col>
      <xdr:colOff>546100</xdr:colOff>
      <xdr:row>31</xdr:row>
      <xdr:rowOff>114300</xdr:rowOff>
    </xdr:from>
    <xdr:to>
      <xdr:col>14</xdr:col>
      <xdr:colOff>266700</xdr:colOff>
      <xdr:row>45</xdr:row>
      <xdr:rowOff>0</xdr:rowOff>
    </xdr:to>
    <xdr:sp macro="" textlink="">
      <xdr:nvSpPr>
        <xdr:cNvPr id="4" name="ZoneTexte 3"/>
        <xdr:cNvSpPr txBox="1"/>
      </xdr:nvSpPr>
      <xdr:spPr>
        <a:xfrm>
          <a:off x="7505700" y="6045200"/>
          <a:ext cx="4673600" cy="237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Ecart sur budget</a:t>
          </a:r>
        </a:p>
        <a:p>
          <a:r>
            <a:rPr lang="fr-FR" sz="1100"/>
            <a:t>56000-50880</a:t>
          </a:r>
        </a:p>
        <a:p>
          <a:r>
            <a:rPr lang="fr-FR" sz="1100"/>
            <a:t>800*70 -(30*800 +26880)</a:t>
          </a:r>
        </a:p>
        <a:p>
          <a:endParaRPr lang="fr-FR" sz="1100"/>
        </a:p>
        <a:p>
          <a:r>
            <a:rPr lang="fr-FR" sz="1100"/>
            <a:t>Ecart sur activité</a:t>
          </a:r>
        </a:p>
        <a:p>
          <a:r>
            <a:rPr lang="fr-FR" sz="1100"/>
            <a:t>50880 - 65*800</a:t>
          </a:r>
        </a:p>
        <a:p>
          <a:endParaRPr lang="fr-FR" sz="1100"/>
        </a:p>
        <a:p>
          <a:endParaRPr lang="fr-FR" sz="1100"/>
        </a:p>
        <a:p>
          <a:r>
            <a:rPr lang="fr-FR" sz="1100"/>
            <a:t>Ecart  sur rendement</a:t>
          </a:r>
        </a:p>
        <a:p>
          <a:r>
            <a:rPr lang="fr-FR" sz="1100"/>
            <a:t>65 * 800 - 65 *825,6</a:t>
          </a:r>
        </a:p>
      </xdr:txBody>
    </xdr:sp>
    <xdr:clientData/>
  </xdr:twoCellAnchor>
  <xdr:twoCellAnchor>
    <xdr:from>
      <xdr:col>12</xdr:col>
      <xdr:colOff>254000</xdr:colOff>
      <xdr:row>8</xdr:row>
      <xdr:rowOff>63500</xdr:rowOff>
    </xdr:from>
    <xdr:to>
      <xdr:col>17</xdr:col>
      <xdr:colOff>317500</xdr:colOff>
      <xdr:row>19</xdr:row>
      <xdr:rowOff>0</xdr:rowOff>
    </xdr:to>
    <xdr:sp macro="" textlink="">
      <xdr:nvSpPr>
        <xdr:cNvPr id="5" name="ZoneTexte 4"/>
        <xdr:cNvSpPr txBox="1"/>
      </xdr:nvSpPr>
      <xdr:spPr>
        <a:xfrm>
          <a:off x="10515600" y="1625600"/>
          <a:ext cx="4191000" cy="212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écart sur prix</a:t>
          </a:r>
        </a:p>
        <a:p>
          <a:r>
            <a:rPr lang="fr-FR" sz="1100"/>
            <a:t>matière alu: (15,2-15) *6450</a:t>
          </a:r>
        </a:p>
        <a:p>
          <a:r>
            <a:rPr lang="fr-FR" sz="1100"/>
            <a:t>matière fonte: (18,5-18)*3800</a:t>
          </a:r>
        </a:p>
        <a:p>
          <a:r>
            <a:rPr lang="fr-FR" sz="1100"/>
            <a:t>MOD (14-13)*7700</a:t>
          </a:r>
        </a:p>
        <a:p>
          <a:endParaRPr lang="fr-FR" sz="1100"/>
        </a:p>
        <a:p>
          <a:endParaRPr lang="fr-FR" sz="1100"/>
        </a:p>
        <a:p>
          <a:r>
            <a:rPr lang="fr-FR" sz="1100"/>
            <a:t>écart sur quantité</a:t>
          </a:r>
        </a:p>
        <a:p>
          <a:r>
            <a:rPr lang="fr-FR" sz="1100"/>
            <a:t>matière</a:t>
          </a:r>
          <a:r>
            <a:rPr lang="fr-FR" sz="1100" baseline="0"/>
            <a:t> alu (6450-6450)*15</a:t>
          </a:r>
        </a:p>
        <a:p>
          <a:r>
            <a:rPr lang="fr-FR" sz="1100" baseline="0"/>
            <a:t>matière fonte (3800-3870)*18</a:t>
          </a:r>
        </a:p>
        <a:p>
          <a:r>
            <a:rPr lang="fr-FR" sz="1100" baseline="0"/>
            <a:t>MOD ((7700-7740)*13</a:t>
          </a:r>
        </a:p>
        <a:p>
          <a:endParaRPr lang="fr-FR" sz="1100"/>
        </a:p>
        <a:p>
          <a:endParaRPr lang="fr-FR" sz="1100"/>
        </a:p>
      </xdr:txBody>
    </xdr:sp>
    <xdr:clientData/>
  </xdr:twoCellAnchor>
  <xdr:twoCellAnchor>
    <xdr:from>
      <xdr:col>5</xdr:col>
      <xdr:colOff>546100</xdr:colOff>
      <xdr:row>60</xdr:row>
      <xdr:rowOff>76200</xdr:rowOff>
    </xdr:from>
    <xdr:to>
      <xdr:col>12</xdr:col>
      <xdr:colOff>101600</xdr:colOff>
      <xdr:row>68</xdr:row>
      <xdr:rowOff>76200</xdr:rowOff>
    </xdr:to>
    <xdr:sp macro="" textlink="">
      <xdr:nvSpPr>
        <xdr:cNvPr id="6" name="ZoneTexte 5"/>
        <xdr:cNvSpPr txBox="1"/>
      </xdr:nvSpPr>
      <xdr:spPr>
        <a:xfrm>
          <a:off x="5029200" y="11303000"/>
          <a:ext cx="5334000" cy="142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Ecart sur budget : 216000- 195000</a:t>
          </a:r>
        </a:p>
        <a:p>
          <a:endParaRPr lang="fr-FR" sz="1100"/>
        </a:p>
        <a:p>
          <a:r>
            <a:rPr lang="fr-FR" sz="1100"/>
            <a:t>Ecart sur activité: 195000 - (100*1800)</a:t>
          </a:r>
        </a:p>
        <a:p>
          <a:endParaRPr lang="fr-FR" sz="1100"/>
        </a:p>
        <a:p>
          <a:r>
            <a:rPr lang="fr-FR" sz="1100"/>
            <a:t>Ecart</a:t>
          </a:r>
          <a:r>
            <a:rPr lang="fr-FR" sz="1100" baseline="0"/>
            <a:t> sur rendement: (100* 1800)- (100 *1816)</a:t>
          </a:r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12</xdr:col>
      <xdr:colOff>390525</xdr:colOff>
      <xdr:row>4</xdr:row>
      <xdr:rowOff>142875</xdr:rowOff>
    </xdr:to>
    <xdr:sp macro="" textlink="">
      <xdr:nvSpPr>
        <xdr:cNvPr id="2" name="ZoneTexte 1"/>
        <xdr:cNvSpPr txBox="1"/>
      </xdr:nvSpPr>
      <xdr:spPr>
        <a:xfrm>
          <a:off x="4914900" y="190500"/>
          <a:ext cx="49815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du CA</a:t>
          </a:r>
        </a:p>
      </xdr:txBody>
    </xdr:sp>
    <xdr:clientData/>
  </xdr:twoCellAnchor>
  <xdr:twoCellAnchor>
    <xdr:from>
      <xdr:col>5</xdr:col>
      <xdr:colOff>742950</xdr:colOff>
      <xdr:row>15</xdr:row>
      <xdr:rowOff>123825</xdr:rowOff>
    </xdr:from>
    <xdr:to>
      <xdr:col>12</xdr:col>
      <xdr:colOff>371475</xdr:colOff>
      <xdr:row>19</xdr:row>
      <xdr:rowOff>171450</xdr:rowOff>
    </xdr:to>
    <xdr:sp macro="" textlink="">
      <xdr:nvSpPr>
        <xdr:cNvPr id="3" name="ZoneTexte 2"/>
        <xdr:cNvSpPr txBox="1"/>
      </xdr:nvSpPr>
      <xdr:spPr>
        <a:xfrm>
          <a:off x="4895850" y="2981325"/>
          <a:ext cx="49815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marge</a:t>
          </a:r>
        </a:p>
      </xdr:txBody>
    </xdr:sp>
    <xdr:clientData/>
  </xdr:twoCellAnchor>
  <xdr:twoCellAnchor>
    <xdr:from>
      <xdr:col>6</xdr:col>
      <xdr:colOff>0</xdr:colOff>
      <xdr:row>41</xdr:row>
      <xdr:rowOff>1</xdr:rowOff>
    </xdr:from>
    <xdr:to>
      <xdr:col>12</xdr:col>
      <xdr:colOff>390525</xdr:colOff>
      <xdr:row>45</xdr:row>
      <xdr:rowOff>1</xdr:rowOff>
    </xdr:to>
    <xdr:sp macro="" textlink="">
      <xdr:nvSpPr>
        <xdr:cNvPr id="4" name="ZoneTexte 3"/>
        <xdr:cNvSpPr txBox="1"/>
      </xdr:nvSpPr>
      <xdr:spPr>
        <a:xfrm>
          <a:off x="4914900" y="8048626"/>
          <a:ext cx="55816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production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12</xdr:col>
      <xdr:colOff>390525</xdr:colOff>
      <xdr:row>4</xdr:row>
      <xdr:rowOff>142875</xdr:rowOff>
    </xdr:to>
    <xdr:sp macro="" textlink="">
      <xdr:nvSpPr>
        <xdr:cNvPr id="2" name="ZoneTexte 1"/>
        <xdr:cNvSpPr txBox="1"/>
      </xdr:nvSpPr>
      <xdr:spPr>
        <a:xfrm>
          <a:off x="4914900" y="190500"/>
          <a:ext cx="55816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du CA</a:t>
          </a:r>
        </a:p>
      </xdr:txBody>
    </xdr:sp>
    <xdr:clientData/>
  </xdr:twoCellAnchor>
  <xdr:twoCellAnchor>
    <xdr:from>
      <xdr:col>5</xdr:col>
      <xdr:colOff>742950</xdr:colOff>
      <xdr:row>15</xdr:row>
      <xdr:rowOff>123825</xdr:rowOff>
    </xdr:from>
    <xdr:to>
      <xdr:col>12</xdr:col>
      <xdr:colOff>371475</xdr:colOff>
      <xdr:row>19</xdr:row>
      <xdr:rowOff>171450</xdr:rowOff>
    </xdr:to>
    <xdr:sp macro="" textlink="">
      <xdr:nvSpPr>
        <xdr:cNvPr id="3" name="ZoneTexte 2"/>
        <xdr:cNvSpPr txBox="1"/>
      </xdr:nvSpPr>
      <xdr:spPr>
        <a:xfrm>
          <a:off x="4895850" y="2981325"/>
          <a:ext cx="55816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marge</a:t>
          </a:r>
        </a:p>
      </xdr:txBody>
    </xdr:sp>
    <xdr:clientData/>
  </xdr:twoCellAnchor>
  <xdr:twoCellAnchor>
    <xdr:from>
      <xdr:col>6</xdr:col>
      <xdr:colOff>0</xdr:colOff>
      <xdr:row>41</xdr:row>
      <xdr:rowOff>1</xdr:rowOff>
    </xdr:from>
    <xdr:to>
      <xdr:col>12</xdr:col>
      <xdr:colOff>390525</xdr:colOff>
      <xdr:row>45</xdr:row>
      <xdr:rowOff>1</xdr:rowOff>
    </xdr:to>
    <xdr:sp macro="" textlink="">
      <xdr:nvSpPr>
        <xdr:cNvPr id="4" name="ZoneTexte 3"/>
        <xdr:cNvSpPr txBox="1"/>
      </xdr:nvSpPr>
      <xdr:spPr>
        <a:xfrm>
          <a:off x="4914900" y="8048626"/>
          <a:ext cx="55816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production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2"/>
  <sheetViews>
    <sheetView topLeftCell="A54" workbookViewId="0">
      <selection activeCell="J75" sqref="J75"/>
    </sheetView>
  </sheetViews>
  <sheetFormatPr baseColWidth="10" defaultRowHeight="14" x14ac:dyDescent="0"/>
  <cols>
    <col min="1" max="1" width="14.83203125" customWidth="1"/>
    <col min="3" max="3" width="19.83203125" customWidth="1"/>
    <col min="4" max="4" width="18.1640625" customWidth="1"/>
    <col min="5" max="5" width="14.83203125" customWidth="1"/>
    <col min="6" max="6" width="36" customWidth="1"/>
    <col min="10" max="10" width="16.83203125" customWidth="1"/>
  </cols>
  <sheetData>
    <row r="2" spans="1:10" ht="23">
      <c r="A2" s="170"/>
      <c r="B2" s="170"/>
      <c r="C2" s="171"/>
      <c r="D2" s="171"/>
      <c r="E2" s="171"/>
    </row>
    <row r="3" spans="1:10" ht="23">
      <c r="A3" s="29"/>
      <c r="B3" s="29"/>
      <c r="C3" s="12"/>
      <c r="D3" s="12"/>
      <c r="E3" s="12"/>
    </row>
    <row r="4" spans="1:10" ht="23">
      <c r="A4" s="29"/>
      <c r="B4" s="29"/>
      <c r="C4" s="12"/>
      <c r="D4" s="12"/>
      <c r="E4" s="12"/>
    </row>
    <row r="5" spans="1:10" ht="23" customHeight="1">
      <c r="A5" s="106" t="s">
        <v>228</v>
      </c>
      <c r="B5" s="106"/>
      <c r="C5" s="106"/>
      <c r="D5" s="106"/>
      <c r="E5" s="107"/>
    </row>
    <row r="6" spans="1:10" ht="23">
      <c r="A6" s="104"/>
      <c r="B6" s="105" t="s">
        <v>227</v>
      </c>
      <c r="C6" s="103" t="s">
        <v>64</v>
      </c>
      <c r="D6" s="103"/>
      <c r="E6" s="103"/>
      <c r="J6" t="s">
        <v>281</v>
      </c>
    </row>
    <row r="7" spans="1:10" ht="23">
      <c r="A7" s="104"/>
      <c r="B7" s="105" t="s">
        <v>229</v>
      </c>
      <c r="C7" s="103" t="s">
        <v>63</v>
      </c>
      <c r="D7" s="103"/>
      <c r="E7" s="103"/>
      <c r="J7" t="s">
        <v>282</v>
      </c>
    </row>
    <row r="8" spans="1:10" ht="23">
      <c r="A8" s="104"/>
      <c r="B8" s="105" t="s">
        <v>230</v>
      </c>
      <c r="C8" s="103" t="s">
        <v>231</v>
      </c>
      <c r="D8" s="103"/>
      <c r="E8" s="103"/>
    </row>
    <row r="9" spans="1:10" ht="23" customHeight="1">
      <c r="A9" s="178" t="s">
        <v>232</v>
      </c>
      <c r="B9" s="178"/>
      <c r="C9" s="178"/>
      <c r="D9" s="178"/>
      <c r="E9" s="178"/>
      <c r="F9" s="178"/>
      <c r="G9" s="178"/>
      <c r="H9" s="178"/>
      <c r="I9" s="178"/>
      <c r="J9" t="s">
        <v>283</v>
      </c>
    </row>
    <row r="10" spans="1:10" ht="23" customHeight="1">
      <c r="A10" s="108"/>
      <c r="B10" s="109" t="s">
        <v>233</v>
      </c>
      <c r="C10" s="103"/>
      <c r="D10" s="111"/>
      <c r="E10" s="108"/>
      <c r="F10" s="108"/>
      <c r="G10" s="108"/>
      <c r="H10" s="108"/>
      <c r="I10" s="108"/>
      <c r="J10" t="s">
        <v>284</v>
      </c>
    </row>
    <row r="11" spans="1:10" ht="23" customHeight="1">
      <c r="A11" s="108"/>
      <c r="B11" s="109" t="s">
        <v>236</v>
      </c>
      <c r="C11" s="103"/>
      <c r="D11" s="115"/>
      <c r="E11" s="114"/>
      <c r="F11" s="114"/>
      <c r="G11" s="116"/>
      <c r="H11" s="114"/>
      <c r="I11" s="114"/>
    </row>
    <row r="12" spans="1:10" ht="23">
      <c r="A12" s="104"/>
      <c r="B12" s="105" t="s">
        <v>234</v>
      </c>
      <c r="C12" s="103"/>
      <c r="D12" s="111"/>
      <c r="E12" s="112"/>
      <c r="F12" s="113"/>
      <c r="G12" s="113"/>
      <c r="H12" s="113"/>
      <c r="I12" s="113"/>
      <c r="J12" t="s">
        <v>285</v>
      </c>
    </row>
    <row r="13" spans="1:10" ht="23">
      <c r="A13" s="104"/>
      <c r="B13" s="105" t="s">
        <v>235</v>
      </c>
      <c r="C13" s="103"/>
      <c r="D13" s="111"/>
      <c r="E13" s="112"/>
      <c r="F13" s="113"/>
      <c r="G13" s="113"/>
      <c r="H13" s="113"/>
      <c r="I13" s="113"/>
      <c r="J13" t="s">
        <v>286</v>
      </c>
    </row>
    <row r="14" spans="1:10" ht="23">
      <c r="A14" s="104"/>
      <c r="B14" s="105"/>
      <c r="C14" s="110"/>
      <c r="D14" s="103"/>
      <c r="E14" s="103" t="s">
        <v>237</v>
      </c>
      <c r="J14" t="s">
        <v>287</v>
      </c>
    </row>
    <row r="15" spans="1:10" ht="23">
      <c r="A15" s="104" t="s">
        <v>238</v>
      </c>
      <c r="B15" s="105"/>
      <c r="C15" s="110"/>
      <c r="D15" s="103"/>
      <c r="E15" s="103"/>
    </row>
    <row r="16" spans="1:10" ht="15" customHeight="1">
      <c r="J16" t="s">
        <v>288</v>
      </c>
    </row>
    <row r="17" spans="1:11" ht="25">
      <c r="A17" s="18"/>
      <c r="J17" t="s">
        <v>289</v>
      </c>
    </row>
    <row r="18" spans="1:11">
      <c r="A18" s="2"/>
      <c r="B18" s="2" t="s">
        <v>3</v>
      </c>
      <c r="C18" s="2" t="s">
        <v>66</v>
      </c>
      <c r="D18" s="2" t="s">
        <v>67</v>
      </c>
    </row>
    <row r="19" spans="1:11">
      <c r="A19" s="7" t="s">
        <v>74</v>
      </c>
      <c r="B19" s="2">
        <v>8000</v>
      </c>
      <c r="C19" s="2">
        <v>7</v>
      </c>
      <c r="D19" s="2">
        <f>B19*C19</f>
        <v>56000</v>
      </c>
      <c r="J19" t="s">
        <v>290</v>
      </c>
    </row>
    <row r="20" spans="1:11">
      <c r="A20" s="7" t="s">
        <v>75</v>
      </c>
      <c r="B20" s="2">
        <v>7000</v>
      </c>
      <c r="C20" s="2">
        <v>8.5</v>
      </c>
      <c r="D20" s="2">
        <f>B20*C20</f>
        <v>59500</v>
      </c>
    </row>
    <row r="21" spans="1:11">
      <c r="A21" s="7" t="s">
        <v>76</v>
      </c>
      <c r="B21" s="2"/>
      <c r="C21" s="2"/>
      <c r="D21" s="2">
        <f>D20-D19</f>
        <v>3500</v>
      </c>
      <c r="J21" t="s">
        <v>291</v>
      </c>
    </row>
    <row r="22" spans="1:11">
      <c r="A22" s="32"/>
      <c r="B22" s="8"/>
      <c r="C22" s="8"/>
      <c r="D22" s="8"/>
    </row>
    <row r="23" spans="1:11" ht="16">
      <c r="A23" s="11" t="s">
        <v>79</v>
      </c>
      <c r="J23" t="s">
        <v>59</v>
      </c>
    </row>
    <row r="24" spans="1:11">
      <c r="J24" t="s">
        <v>292</v>
      </c>
      <c r="K24">
        <v>-24500</v>
      </c>
    </row>
    <row r="25" spans="1:11">
      <c r="A25" t="s">
        <v>58</v>
      </c>
      <c r="C25">
        <f>(B20-B19)*C19</f>
        <v>-7000</v>
      </c>
    </row>
    <row r="26" spans="1:11">
      <c r="A26" t="s">
        <v>59</v>
      </c>
      <c r="C26">
        <f>(C20-C19)*B20</f>
        <v>10500</v>
      </c>
      <c r="J26" t="s">
        <v>293</v>
      </c>
    </row>
    <row r="27" spans="1:11">
      <c r="A27" t="s">
        <v>77</v>
      </c>
      <c r="C27">
        <f>C26+C25</f>
        <v>3500</v>
      </c>
      <c r="J27" t="s">
        <v>294</v>
      </c>
      <c r="K27">
        <v>-24500</v>
      </c>
    </row>
    <row r="29" spans="1:11">
      <c r="J29" t="s">
        <v>295</v>
      </c>
    </row>
    <row r="30" spans="1:11">
      <c r="J30" t="s">
        <v>296</v>
      </c>
    </row>
    <row r="31" spans="1:11" ht="25">
      <c r="A31" s="18" t="s">
        <v>239</v>
      </c>
    </row>
    <row r="32" spans="1:11" ht="25">
      <c r="A32" s="18"/>
    </row>
    <row r="33" spans="1:10">
      <c r="A33" s="7"/>
      <c r="B33" s="172" t="s">
        <v>162</v>
      </c>
      <c r="C33" s="173"/>
      <c r="D33" s="173"/>
      <c r="E33" s="174"/>
      <c r="F33" s="175" t="s">
        <v>78</v>
      </c>
      <c r="G33" s="176"/>
      <c r="H33" s="176"/>
      <c r="I33" s="177"/>
      <c r="J33" s="2" t="s">
        <v>71</v>
      </c>
    </row>
    <row r="34" spans="1:10">
      <c r="A34" s="2"/>
      <c r="B34" s="2" t="s">
        <v>3</v>
      </c>
      <c r="C34" s="2" t="s">
        <v>66</v>
      </c>
      <c r="D34" s="2" t="s">
        <v>39</v>
      </c>
      <c r="E34" s="2" t="s">
        <v>7</v>
      </c>
      <c r="F34" s="2" t="s">
        <v>3</v>
      </c>
      <c r="G34" s="2" t="s">
        <v>66</v>
      </c>
      <c r="H34" s="2" t="s">
        <v>39</v>
      </c>
      <c r="I34" s="2" t="s">
        <v>7</v>
      </c>
      <c r="J34" s="2"/>
    </row>
    <row r="35" spans="1:10">
      <c r="A35" s="2" t="s">
        <v>72</v>
      </c>
      <c r="B35" s="2">
        <v>30000</v>
      </c>
      <c r="C35" s="2">
        <v>1</v>
      </c>
      <c r="D35" s="2">
        <f>B35*C35</f>
        <v>30000</v>
      </c>
      <c r="E35" s="2">
        <f>B35/B37</f>
        <v>0.46153846153846156</v>
      </c>
      <c r="F35" s="2">
        <v>25000</v>
      </c>
      <c r="G35" s="2">
        <v>0.9</v>
      </c>
      <c r="H35" s="2">
        <f>F35*G35</f>
        <v>22500</v>
      </c>
      <c r="I35" s="2">
        <f>F35/F37</f>
        <v>0.38461538461538464</v>
      </c>
      <c r="J35" s="2">
        <f>D35-H35</f>
        <v>7500</v>
      </c>
    </row>
    <row r="36" spans="1:10">
      <c r="A36" s="7" t="s">
        <v>73</v>
      </c>
      <c r="B36" s="2">
        <v>35000</v>
      </c>
      <c r="C36" s="2">
        <v>0.95</v>
      </c>
      <c r="D36" s="2">
        <f>B36*C36</f>
        <v>33250</v>
      </c>
      <c r="E36" s="2">
        <f>B36/B37</f>
        <v>0.53846153846153844</v>
      </c>
      <c r="F36" s="2">
        <v>40000</v>
      </c>
      <c r="G36" s="2">
        <v>0.85</v>
      </c>
      <c r="H36" s="2">
        <f>F36*G36</f>
        <v>34000</v>
      </c>
      <c r="I36" s="2">
        <f>F36/F37</f>
        <v>0.61538461538461542</v>
      </c>
      <c r="J36" s="2">
        <f>D36-H36</f>
        <v>-750</v>
      </c>
    </row>
    <row r="37" spans="1:10">
      <c r="A37" s="2" t="s">
        <v>70</v>
      </c>
      <c r="B37" s="2">
        <f>SUM(B35:B36)</f>
        <v>65000</v>
      </c>
      <c r="C37" s="2"/>
      <c r="D37" s="2">
        <f>D35+D36</f>
        <v>63250</v>
      </c>
      <c r="E37" s="2"/>
      <c r="F37" s="2">
        <f>SUM(F35:F36)</f>
        <v>65000</v>
      </c>
      <c r="G37" s="2"/>
      <c r="H37" s="2">
        <f>H35+H36</f>
        <v>56500</v>
      </c>
      <c r="I37" s="2"/>
      <c r="J37" s="3">
        <f>D37-H37</f>
        <v>6750</v>
      </c>
    </row>
    <row r="39" spans="1:10" ht="16">
      <c r="A39" s="11" t="s">
        <v>79</v>
      </c>
    </row>
    <row r="40" spans="1:10" ht="16">
      <c r="A40" s="11"/>
    </row>
    <row r="41" spans="1:10">
      <c r="A41" s="28" t="s">
        <v>59</v>
      </c>
      <c r="E41" s="28" t="s">
        <v>58</v>
      </c>
    </row>
    <row r="42" spans="1:10">
      <c r="A42" s="28"/>
      <c r="B42" t="s">
        <v>72</v>
      </c>
      <c r="C42">
        <f>(C35-G35)*B35</f>
        <v>2999.9999999999995</v>
      </c>
      <c r="E42" s="28"/>
      <c r="F42" t="s">
        <v>72</v>
      </c>
      <c r="G42">
        <f>(B35-F35)*G35</f>
        <v>4500</v>
      </c>
    </row>
    <row r="43" spans="1:10">
      <c r="B43" t="s">
        <v>73</v>
      </c>
      <c r="C43">
        <f>(C36-G36)*B36</f>
        <v>3499.9999999999991</v>
      </c>
      <c r="F43" t="s">
        <v>73</v>
      </c>
      <c r="G43">
        <f>(B36-F36)*G36</f>
        <v>-4250</v>
      </c>
    </row>
    <row r="44" spans="1:10">
      <c r="B44" t="s">
        <v>8</v>
      </c>
      <c r="C44">
        <f>SUM(C42:C43)</f>
        <v>6499.9999999999982</v>
      </c>
      <c r="F44" t="s">
        <v>8</v>
      </c>
      <c r="G44" s="31">
        <f>SUM(G42:G43)</f>
        <v>250</v>
      </c>
    </row>
    <row r="45" spans="1:10">
      <c r="A45" t="s">
        <v>77</v>
      </c>
      <c r="B45" s="1">
        <f>C44+G44</f>
        <v>6749.9999999999982</v>
      </c>
    </row>
    <row r="48" spans="1:10" ht="16">
      <c r="A48" s="11" t="s">
        <v>80</v>
      </c>
    </row>
    <row r="50" spans="1:5">
      <c r="A50" s="28" t="s">
        <v>81</v>
      </c>
      <c r="C50" t="s">
        <v>82</v>
      </c>
      <c r="D50">
        <f>((G35*F35)+(G36*F36))/(F36+F35)</f>
        <v>0.86923076923076925</v>
      </c>
    </row>
    <row r="51" spans="1:5">
      <c r="C51">
        <f>(B37-F37)*D50</f>
        <v>0</v>
      </c>
    </row>
    <row r="54" spans="1:5">
      <c r="A54" s="28" t="s">
        <v>83</v>
      </c>
      <c r="C54" t="s">
        <v>72</v>
      </c>
      <c r="D54">
        <f>(E35-I35)*B37*G35</f>
        <v>4500</v>
      </c>
    </row>
    <row r="55" spans="1:5">
      <c r="C55" t="s">
        <v>73</v>
      </c>
      <c r="D55">
        <f>(E36-I36)*B37*G36</f>
        <v>-4250.0000000000027</v>
      </c>
    </row>
    <row r="56" spans="1:5">
      <c r="D56">
        <f>SUM(D54:D55)</f>
        <v>249.99999999999727</v>
      </c>
    </row>
    <row r="57" spans="1:5">
      <c r="A57" t="s">
        <v>77</v>
      </c>
      <c r="C57" s="31">
        <f>C51+D56</f>
        <v>249.99999999999727</v>
      </c>
    </row>
    <row r="60" spans="1:5" ht="25">
      <c r="A60" s="18"/>
    </row>
    <row r="61" spans="1:5" ht="25">
      <c r="A61" s="18" t="s">
        <v>263</v>
      </c>
      <c r="B61" s="18"/>
      <c r="C61" s="18"/>
      <c r="D61" s="18"/>
      <c r="E61" s="18"/>
    </row>
    <row r="62" spans="1:5" ht="25">
      <c r="A62" s="18"/>
    </row>
    <row r="64" spans="1:5" ht="15" thickBot="1"/>
    <row r="65" spans="1:13" ht="15" thickBot="1">
      <c r="A65" s="117"/>
      <c r="B65" s="179" t="s">
        <v>74</v>
      </c>
      <c r="C65" s="180"/>
      <c r="D65" s="181"/>
      <c r="E65" s="179" t="s">
        <v>240</v>
      </c>
      <c r="F65" s="180"/>
      <c r="G65" s="181"/>
      <c r="H65" t="s">
        <v>9</v>
      </c>
      <c r="I65" t="s">
        <v>63</v>
      </c>
      <c r="J65" t="s">
        <v>64</v>
      </c>
      <c r="K65" t="s">
        <v>231</v>
      </c>
      <c r="L65" t="s">
        <v>261</v>
      </c>
      <c r="M65" t="s">
        <v>262</v>
      </c>
    </row>
    <row r="66" spans="1:13" ht="15" thickBot="1">
      <c r="A66" s="118"/>
      <c r="B66" s="119" t="s">
        <v>241</v>
      </c>
      <c r="C66" s="120" t="s">
        <v>242</v>
      </c>
      <c r="D66" s="120" t="s">
        <v>243</v>
      </c>
      <c r="E66" s="120" t="s">
        <v>241</v>
      </c>
      <c r="F66" s="120" t="s">
        <v>242</v>
      </c>
      <c r="G66" s="120" t="s">
        <v>243</v>
      </c>
    </row>
    <row r="67" spans="1:13">
      <c r="A67" s="126" t="s">
        <v>244</v>
      </c>
      <c r="B67" s="143">
        <v>10000</v>
      </c>
      <c r="C67" s="143">
        <v>40</v>
      </c>
      <c r="D67" s="143">
        <v>400000</v>
      </c>
      <c r="E67" s="143">
        <v>11000</v>
      </c>
      <c r="F67" s="143">
        <v>42</v>
      </c>
      <c r="G67" s="143">
        <v>462000</v>
      </c>
      <c r="H67" s="144">
        <f>G67-D67</f>
        <v>62000</v>
      </c>
      <c r="I67">
        <f>(F67-C67)*E67</f>
        <v>22000</v>
      </c>
      <c r="J67">
        <f>(E67-B67)*C67</f>
        <v>40000</v>
      </c>
      <c r="L67">
        <f>B67/B70</f>
        <v>0.43478260869565216</v>
      </c>
      <c r="M67">
        <f>E67/E70</f>
        <v>0.51162790697674421</v>
      </c>
    </row>
    <row r="68" spans="1:13">
      <c r="A68" s="126" t="s">
        <v>245</v>
      </c>
      <c r="B68" s="143">
        <v>8000</v>
      </c>
      <c r="C68" s="143">
        <v>60</v>
      </c>
      <c r="D68" s="143">
        <v>480000</v>
      </c>
      <c r="E68" s="143">
        <v>7500</v>
      </c>
      <c r="F68" s="143">
        <v>62</v>
      </c>
      <c r="G68" s="143">
        <v>465000</v>
      </c>
      <c r="H68" s="145">
        <f>G68-D68</f>
        <v>-15000</v>
      </c>
      <c r="I68">
        <f t="shared" ref="I68:I69" si="0">(F68-C68)*E68</f>
        <v>15000</v>
      </c>
      <c r="J68">
        <f t="shared" ref="J68:J69" si="1">(E68-B68)*C68</f>
        <v>-30000</v>
      </c>
      <c r="L68">
        <f>B68/B70</f>
        <v>0.34782608695652173</v>
      </c>
      <c r="M68">
        <f>E68/E70</f>
        <v>0.34883720930232559</v>
      </c>
    </row>
    <row r="69" spans="1:13" ht="15" thickBot="1">
      <c r="A69" s="127" t="s">
        <v>246</v>
      </c>
      <c r="B69" s="146">
        <v>5000</v>
      </c>
      <c r="C69" s="146">
        <v>90</v>
      </c>
      <c r="D69" s="146">
        <v>450000</v>
      </c>
      <c r="E69" s="146">
        <v>3000</v>
      </c>
      <c r="F69" s="146">
        <v>90</v>
      </c>
      <c r="G69" s="146">
        <v>270000</v>
      </c>
      <c r="H69" s="145">
        <f>G69-D69</f>
        <v>-180000</v>
      </c>
      <c r="I69">
        <f t="shared" si="0"/>
        <v>0</v>
      </c>
      <c r="J69">
        <f t="shared" si="1"/>
        <v>-180000</v>
      </c>
      <c r="L69">
        <f>B69/B70</f>
        <v>0.21739130434782608</v>
      </c>
      <c r="M69">
        <f>E69/E70</f>
        <v>0.13953488372093023</v>
      </c>
    </row>
    <row r="70" spans="1:13" ht="15" thickBot="1">
      <c r="A70" s="139"/>
      <c r="B70" s="147">
        <f>B67+B68+B69</f>
        <v>23000</v>
      </c>
      <c r="C70" s="148"/>
      <c r="D70" s="146">
        <v>1330000</v>
      </c>
      <c r="E70" s="147">
        <f>E67+E68+E69</f>
        <v>21500</v>
      </c>
      <c r="F70" s="148"/>
      <c r="G70" s="146">
        <v>1197000</v>
      </c>
      <c r="H70" s="145">
        <f>G70-D70</f>
        <v>-133000</v>
      </c>
      <c r="I70" s="138">
        <f>I67+I68+I69</f>
        <v>37000</v>
      </c>
      <c r="J70" s="138">
        <f>J67+J68+J69</f>
        <v>-170000</v>
      </c>
    </row>
    <row r="71" spans="1:13">
      <c r="B71" s="145"/>
      <c r="C71" s="145"/>
      <c r="D71" s="145"/>
      <c r="E71" s="145"/>
      <c r="F71" s="145"/>
    </row>
    <row r="73" spans="1:13">
      <c r="H73" t="s">
        <v>280</v>
      </c>
      <c r="I73" s="138">
        <f>J70+I70</f>
        <v>-133000</v>
      </c>
    </row>
    <row r="74" spans="1:13">
      <c r="F74" t="s">
        <v>301</v>
      </c>
      <c r="G74">
        <v>-17000</v>
      </c>
    </row>
    <row r="76" spans="1:13" ht="15">
      <c r="D76" s="135"/>
      <c r="E76" s="135"/>
      <c r="F76" s="28" t="s">
        <v>207</v>
      </c>
      <c r="G76" t="s">
        <v>297</v>
      </c>
      <c r="H76">
        <f>(C67*B67+C68*B68+C69*B69)/B70</f>
        <v>57.826086956521742</v>
      </c>
    </row>
    <row r="77" spans="1:13" ht="15">
      <c r="D77" s="149"/>
      <c r="E77" s="149"/>
      <c r="G77">
        <f>(E70-B70)*H76</f>
        <v>-86739.130434782608</v>
      </c>
      <c r="K77">
        <f>(E70-B70)*L67*C67</f>
        <v>-26086.956521739128</v>
      </c>
    </row>
    <row r="78" spans="1:13" ht="15">
      <c r="D78" s="149"/>
      <c r="E78" s="149"/>
      <c r="K78">
        <f>(E70-B70)*L68*C68</f>
        <v>-31304.347826086956</v>
      </c>
    </row>
    <row r="79" spans="1:13" ht="15">
      <c r="D79" s="135"/>
      <c r="E79" s="135"/>
      <c r="F79" t="s">
        <v>196</v>
      </c>
      <c r="G79" t="s">
        <v>298</v>
      </c>
      <c r="H79">
        <f>(M67-L67)*C67*E70</f>
        <v>66086.956521739165</v>
      </c>
      <c r="K79">
        <f>(E70-B70)*L69*C69</f>
        <v>-29347.82608695652</v>
      </c>
    </row>
    <row r="80" spans="1:13">
      <c r="G80" t="s">
        <v>299</v>
      </c>
      <c r="H80">
        <f>(M68-L68)*C68*E70</f>
        <v>1304.3478260869806</v>
      </c>
      <c r="K80">
        <f>K77+K78+K79</f>
        <v>-86739.130434782594</v>
      </c>
    </row>
    <row r="81" spans="7:10">
      <c r="G81" t="s">
        <v>300</v>
      </c>
      <c r="H81">
        <f>(M69-L69)*C69*E70</f>
        <v>-150652.17391304349</v>
      </c>
    </row>
    <row r="82" spans="7:10">
      <c r="H82">
        <f>H79+H80+H81</f>
        <v>-83260.869565217348</v>
      </c>
      <c r="I82" t="s">
        <v>279</v>
      </c>
      <c r="J82">
        <f>H82+G77</f>
        <v>-169999.99999999994</v>
      </c>
    </row>
  </sheetData>
  <mergeCells count="6">
    <mergeCell ref="A2:E2"/>
    <mergeCell ref="B33:E33"/>
    <mergeCell ref="F33:I33"/>
    <mergeCell ref="A9:I9"/>
    <mergeCell ref="B65:D65"/>
    <mergeCell ref="E65:G65"/>
  </mergeCells>
  <pageMargins left="0.7" right="0.7" top="0.75" bottom="0.75" header="0.3" footer="0.3"/>
  <pageSetup paperSize="9" orientation="portrait" horizontalDpi="4294967292" verticalDpi="4294967292"/>
  <ignoredErrors>
    <ignoredError sqref="H67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4:Q32"/>
  <sheetViews>
    <sheetView workbookViewId="0">
      <selection activeCell="H31" sqref="H31"/>
    </sheetView>
  </sheetViews>
  <sheetFormatPr baseColWidth="10" defaultRowHeight="14" x14ac:dyDescent="0"/>
  <sheetData>
    <row r="24" spans="4:17" ht="15" thickBot="1">
      <c r="K24" s="129"/>
      <c r="L24" s="129"/>
      <c r="M24" s="129"/>
      <c r="N24" s="129"/>
      <c r="O24" s="129"/>
      <c r="P24" s="129"/>
      <c r="Q24" s="129"/>
    </row>
    <row r="25" spans="4:17" ht="15" thickBot="1">
      <c r="D25" s="140"/>
      <c r="E25" s="239" t="s">
        <v>74</v>
      </c>
      <c r="F25" s="240"/>
      <c r="G25" s="241"/>
      <c r="H25" s="239" t="s">
        <v>240</v>
      </c>
      <c r="I25" s="240"/>
      <c r="J25" s="241"/>
      <c r="K25" s="129" t="s">
        <v>9</v>
      </c>
      <c r="L25" s="129" t="s">
        <v>63</v>
      </c>
      <c r="M25" s="129" t="s">
        <v>64</v>
      </c>
      <c r="N25" s="129" t="s">
        <v>231</v>
      </c>
      <c r="O25" s="129" t="s">
        <v>261</v>
      </c>
      <c r="P25" s="129" t="s">
        <v>262</v>
      </c>
      <c r="Q25" s="129"/>
    </row>
    <row r="26" spans="4:17" ht="15" thickBot="1">
      <c r="D26" s="127"/>
      <c r="E26" s="141" t="s">
        <v>241</v>
      </c>
      <c r="F26" s="142" t="s">
        <v>242</v>
      </c>
      <c r="G26" s="142" t="s">
        <v>243</v>
      </c>
      <c r="H26" s="142" t="s">
        <v>241</v>
      </c>
      <c r="I26" s="142" t="s">
        <v>242</v>
      </c>
      <c r="J26" s="142" t="s">
        <v>243</v>
      </c>
      <c r="K26" s="129"/>
      <c r="L26" s="129"/>
      <c r="M26" s="129"/>
      <c r="N26" s="129"/>
      <c r="O26" s="129"/>
      <c r="P26" s="129"/>
      <c r="Q26" s="129"/>
    </row>
    <row r="27" spans="4:17">
      <c r="D27" s="126" t="s">
        <v>244</v>
      </c>
      <c r="E27" s="124" t="s">
        <v>247</v>
      </c>
      <c r="F27" s="124">
        <v>40</v>
      </c>
      <c r="G27" s="124" t="s">
        <v>250</v>
      </c>
      <c r="H27" s="124" t="s">
        <v>253</v>
      </c>
      <c r="I27" s="124">
        <v>42</v>
      </c>
      <c r="J27" s="124" t="s">
        <v>256</v>
      </c>
      <c r="K27" s="128" t="e">
        <f xml:space="preserve"> J27-G27</f>
        <v>#VALUE!</v>
      </c>
      <c r="L27" s="129" t="e">
        <f>(I27-F27)*H27</f>
        <v>#VALUE!</v>
      </c>
      <c r="M27" s="129" t="e">
        <f>(H27-E27)*F27</f>
        <v>#VALUE!</v>
      </c>
      <c r="N27" s="129" t="e">
        <f>(P27-O27)*H31*F27</f>
        <v>#VALUE!</v>
      </c>
      <c r="O27" s="129" t="e">
        <f>E27/E31</f>
        <v>#VALUE!</v>
      </c>
      <c r="P27" s="129" t="e">
        <f>H27/H31</f>
        <v>#VALUE!</v>
      </c>
      <c r="Q27" s="129"/>
    </row>
    <row r="28" spans="4:17">
      <c r="D28" s="126" t="s">
        <v>245</v>
      </c>
      <c r="E28" s="124" t="s">
        <v>248</v>
      </c>
      <c r="F28" s="124">
        <v>60</v>
      </c>
      <c r="G28" s="124" t="s">
        <v>251</v>
      </c>
      <c r="H28" s="124" t="s">
        <v>254</v>
      </c>
      <c r="I28" s="124">
        <v>62</v>
      </c>
      <c r="J28" s="124" t="s">
        <v>257</v>
      </c>
      <c r="K28" s="129" t="e">
        <f>J28-G28</f>
        <v>#VALUE!</v>
      </c>
      <c r="L28" s="129" t="e">
        <f t="shared" ref="L28:L29" si="0">(I28-F28)*H28</f>
        <v>#VALUE!</v>
      </c>
      <c r="M28" s="129" t="e">
        <f t="shared" ref="M28:M29" si="1">(H28-E28)*F28</f>
        <v>#VALUE!</v>
      </c>
      <c r="N28" s="129" t="e">
        <f t="shared" ref="N28:N29" si="2">(P28-O28)*H32*F28</f>
        <v>#VALUE!</v>
      </c>
      <c r="O28" s="129" t="e">
        <f t="shared" ref="O28:O29" si="3">E28/E32</f>
        <v>#VALUE!</v>
      </c>
      <c r="P28" s="129" t="e">
        <f t="shared" ref="P28:P29" si="4">H28/H32</f>
        <v>#VALUE!</v>
      </c>
      <c r="Q28" s="129"/>
    </row>
    <row r="29" spans="4:17" ht="15" thickBot="1">
      <c r="D29" s="127" t="s">
        <v>246</v>
      </c>
      <c r="E29" s="125" t="s">
        <v>249</v>
      </c>
      <c r="F29" s="125">
        <v>90</v>
      </c>
      <c r="G29" s="125" t="s">
        <v>252</v>
      </c>
      <c r="H29" s="125" t="s">
        <v>255</v>
      </c>
      <c r="I29" s="125">
        <v>90</v>
      </c>
      <c r="J29" s="125" t="s">
        <v>258</v>
      </c>
      <c r="K29" s="129" t="e">
        <f>J29-G29</f>
        <v>#VALUE!</v>
      </c>
      <c r="L29" s="129" t="e">
        <f t="shared" si="0"/>
        <v>#VALUE!</v>
      </c>
      <c r="M29" s="129" t="e">
        <f t="shared" si="1"/>
        <v>#VALUE!</v>
      </c>
      <c r="N29" s="129" t="e">
        <f t="shared" si="2"/>
        <v>#VALUE!</v>
      </c>
      <c r="O29" s="129" t="e">
        <f t="shared" si="3"/>
        <v>#VALUE!</v>
      </c>
      <c r="P29" s="129" t="e">
        <f t="shared" si="4"/>
        <v>#VALUE!</v>
      </c>
      <c r="Q29" s="129"/>
    </row>
    <row r="30" spans="4:17" ht="15" thickBot="1">
      <c r="D30" s="242"/>
      <c r="E30" s="242"/>
      <c r="F30" s="243"/>
      <c r="G30" s="125" t="s">
        <v>259</v>
      </c>
      <c r="H30" s="244"/>
      <c r="I30" s="243"/>
      <c r="J30" s="125" t="s">
        <v>260</v>
      </c>
      <c r="K30" s="129" t="e">
        <f>J30-G30</f>
        <v>#VALUE!</v>
      </c>
      <c r="L30" s="129"/>
      <c r="M30" s="129"/>
      <c r="N30" s="129"/>
      <c r="O30" s="129"/>
      <c r="P30" s="129"/>
      <c r="Q30" s="129"/>
    </row>
    <row r="31" spans="4:17">
      <c r="D31" s="129"/>
      <c r="E31" s="129" t="e">
        <f>E27:E29</f>
        <v>#VALUE!</v>
      </c>
      <c r="F31" s="129"/>
      <c r="G31" s="129"/>
      <c r="H31" s="129" t="e">
        <f>H27:H29</f>
        <v>#VALUE!</v>
      </c>
      <c r="I31" s="129"/>
      <c r="J31" s="129"/>
      <c r="K31" s="129"/>
      <c r="L31" s="129"/>
      <c r="M31" s="129"/>
      <c r="N31" s="129"/>
      <c r="O31" s="129"/>
      <c r="P31" s="129"/>
      <c r="Q31" s="129"/>
    </row>
    <row r="32" spans="4:17">
      <c r="K32" s="129"/>
      <c r="L32" s="129"/>
      <c r="M32" s="129"/>
      <c r="N32" s="129"/>
      <c r="O32" s="129"/>
      <c r="P32" s="129"/>
      <c r="Q32" s="129"/>
    </row>
  </sheetData>
  <mergeCells count="4">
    <mergeCell ref="E25:G25"/>
    <mergeCell ref="H25:J25"/>
    <mergeCell ref="D30:F30"/>
    <mergeCell ref="H30:I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workbookViewId="0">
      <selection activeCell="J104" sqref="J104"/>
    </sheetView>
  </sheetViews>
  <sheetFormatPr baseColWidth="10" defaultRowHeight="14" x14ac:dyDescent="0"/>
  <cols>
    <col min="1" max="1" width="12" customWidth="1"/>
    <col min="6" max="6" width="15.33203125" customWidth="1"/>
    <col min="7" max="7" width="14.1640625" customWidth="1"/>
    <col min="9" max="9" width="14.33203125" customWidth="1"/>
    <col min="10" max="10" width="17.5" customWidth="1"/>
    <col min="11" max="11" width="16.83203125" customWidth="1"/>
    <col min="16" max="16" width="16.33203125" customWidth="1"/>
    <col min="17" max="17" width="15.6640625" customWidth="1"/>
  </cols>
  <sheetData>
    <row r="1" spans="1:20" ht="46" customHeight="1">
      <c r="A1" s="170"/>
      <c r="B1" s="170"/>
      <c r="C1" s="171"/>
      <c r="D1" s="171"/>
      <c r="E1" s="171"/>
    </row>
    <row r="8" spans="1:20" ht="23">
      <c r="A8" s="130" t="s">
        <v>267</v>
      </c>
      <c r="B8" s="130"/>
      <c r="C8" s="130"/>
      <c r="D8" s="131"/>
      <c r="E8" s="131"/>
    </row>
    <row r="10" spans="1:20" ht="15" thickBot="1"/>
    <row r="11" spans="1:20" ht="15" thickBot="1">
      <c r="A11" s="117"/>
      <c r="B11" s="179" t="s">
        <v>74</v>
      </c>
      <c r="C11" s="180"/>
      <c r="D11" s="181"/>
      <c r="E11" s="179" t="s">
        <v>240</v>
      </c>
      <c r="F11" s="180"/>
      <c r="G11" s="181"/>
      <c r="J11" t="s">
        <v>265</v>
      </c>
      <c r="K11" t="s">
        <v>266</v>
      </c>
      <c r="L11" t="s">
        <v>71</v>
      </c>
      <c r="M11" t="s">
        <v>27</v>
      </c>
      <c r="N11" t="s">
        <v>336</v>
      </c>
      <c r="O11" t="s">
        <v>337</v>
      </c>
      <c r="P11" t="s">
        <v>64</v>
      </c>
      <c r="Q11" t="s">
        <v>231</v>
      </c>
      <c r="R11" t="s">
        <v>338</v>
      </c>
      <c r="S11" t="s">
        <v>339</v>
      </c>
      <c r="T11" t="s">
        <v>81</v>
      </c>
    </row>
    <row r="12" spans="1:20" ht="15" thickBot="1">
      <c r="A12" s="118"/>
      <c r="B12" s="119" t="s">
        <v>241</v>
      </c>
      <c r="C12" s="120" t="s">
        <v>242</v>
      </c>
      <c r="D12" s="120" t="s">
        <v>243</v>
      </c>
      <c r="E12" s="120" t="s">
        <v>241</v>
      </c>
      <c r="F12" s="120" t="s">
        <v>242</v>
      </c>
      <c r="G12" s="120" t="s">
        <v>243</v>
      </c>
      <c r="I12" s="132" t="s">
        <v>264</v>
      </c>
    </row>
    <row r="13" spans="1:20">
      <c r="A13" s="121" t="s">
        <v>244</v>
      </c>
      <c r="B13" s="122">
        <v>10000</v>
      </c>
      <c r="C13" s="122">
        <v>40</v>
      </c>
      <c r="D13" s="122">
        <v>400000</v>
      </c>
      <c r="E13" s="122">
        <v>11000</v>
      </c>
      <c r="F13" s="122">
        <v>42</v>
      </c>
      <c r="G13" s="122">
        <v>462000</v>
      </c>
      <c r="I13" s="133">
        <v>16</v>
      </c>
      <c r="J13">
        <f>(F13-I13)*E13</f>
        <v>286000</v>
      </c>
      <c r="K13">
        <f>(C13-I13)*B13</f>
        <v>240000</v>
      </c>
      <c r="L13">
        <f>J13-K13</f>
        <v>46000</v>
      </c>
      <c r="M13">
        <f>C13-I13</f>
        <v>24</v>
      </c>
      <c r="N13">
        <f>F13-I13</f>
        <v>26</v>
      </c>
      <c r="O13">
        <f>(N13-M13)*E13</f>
        <v>22000</v>
      </c>
      <c r="P13">
        <f>(E13-B13)*M13</f>
        <v>24000</v>
      </c>
      <c r="Q13">
        <f>(S13-R13)*E16*M13</f>
        <v>39652.173913043494</v>
      </c>
      <c r="R13">
        <f>B13/B16</f>
        <v>0.43478260869565216</v>
      </c>
      <c r="S13">
        <f>E13/E16</f>
        <v>0.51162790697674421</v>
      </c>
      <c r="T13">
        <f>(E16-B16)*R13*M13</f>
        <v>-15652.173913043478</v>
      </c>
    </row>
    <row r="14" spans="1:20">
      <c r="A14" s="121" t="s">
        <v>245</v>
      </c>
      <c r="B14" s="122">
        <v>8000</v>
      </c>
      <c r="C14" s="122">
        <v>60</v>
      </c>
      <c r="D14" s="122">
        <v>480000</v>
      </c>
      <c r="E14" s="122">
        <v>7500</v>
      </c>
      <c r="F14" s="122">
        <v>62</v>
      </c>
      <c r="G14" s="122">
        <v>465000</v>
      </c>
      <c r="I14" s="133">
        <v>24</v>
      </c>
      <c r="J14">
        <f t="shared" ref="J14:J15" si="0">(F14-I14)*E14</f>
        <v>285000</v>
      </c>
      <c r="K14">
        <f t="shared" ref="K14:K15" si="1">(C14-I14)*B14</f>
        <v>288000</v>
      </c>
      <c r="L14">
        <f>J14-K14</f>
        <v>-3000</v>
      </c>
      <c r="M14">
        <f>C14-I14</f>
        <v>36</v>
      </c>
      <c r="N14">
        <f>F14-I14</f>
        <v>38</v>
      </c>
      <c r="O14">
        <f>(N14-M14)*E14</f>
        <v>15000</v>
      </c>
      <c r="P14">
        <f>(E14-B14)*M14</f>
        <v>-18000</v>
      </c>
      <c r="Q14">
        <f>(S14-R14)*E16*M14</f>
        <v>782.60869565218843</v>
      </c>
      <c r="R14">
        <f>B14/B16</f>
        <v>0.34782608695652173</v>
      </c>
      <c r="S14">
        <f>E14/E16</f>
        <v>0.34883720930232559</v>
      </c>
      <c r="T14">
        <f>(E16-B16)*R14*M14</f>
        <v>-18782.608695652176</v>
      </c>
    </row>
    <row r="15" spans="1:20" ht="15" thickBot="1">
      <c r="A15" s="118" t="s">
        <v>246</v>
      </c>
      <c r="B15" s="123">
        <v>5000</v>
      </c>
      <c r="C15" s="123">
        <v>90</v>
      </c>
      <c r="D15" s="123" t="s">
        <v>252</v>
      </c>
      <c r="E15" s="123">
        <v>3000</v>
      </c>
      <c r="F15" s="123">
        <v>90</v>
      </c>
      <c r="G15" s="123" t="s">
        <v>258</v>
      </c>
      <c r="I15" s="134">
        <v>40</v>
      </c>
      <c r="J15">
        <f t="shared" si="0"/>
        <v>150000</v>
      </c>
      <c r="K15">
        <f t="shared" si="1"/>
        <v>250000</v>
      </c>
      <c r="L15">
        <f>J15-K15</f>
        <v>-100000</v>
      </c>
      <c r="M15">
        <f>C15-I15</f>
        <v>50</v>
      </c>
      <c r="N15">
        <f>F15-I15</f>
        <v>50</v>
      </c>
      <c r="O15">
        <f>(N15-M15)*E15</f>
        <v>0</v>
      </c>
      <c r="P15">
        <f>(E15-B15)*M15</f>
        <v>-100000</v>
      </c>
      <c r="Q15">
        <f>(S15-R15)*E16*M15</f>
        <v>-83695.65217391304</v>
      </c>
      <c r="R15">
        <f>B15/B16</f>
        <v>0.21739130434782608</v>
      </c>
      <c r="S15">
        <f>E15/E16</f>
        <v>0.13953488372093023</v>
      </c>
      <c r="T15">
        <f>(E16-B16)*R15*M15</f>
        <v>-16304.347826086956</v>
      </c>
    </row>
    <row r="16" spans="1:20" ht="15" thickBot="1">
      <c r="A16" s="151"/>
      <c r="B16" s="151">
        <f>B13+B14+B15</f>
        <v>23000</v>
      </c>
      <c r="C16" s="152"/>
      <c r="D16" s="123" t="s">
        <v>259</v>
      </c>
      <c r="E16" s="153">
        <f>E13+E14+E15</f>
        <v>21500</v>
      </c>
      <c r="F16" s="152"/>
      <c r="G16" s="123" t="s">
        <v>260</v>
      </c>
      <c r="L16">
        <f>L13+L14+L15</f>
        <v>-57000</v>
      </c>
      <c r="P16" s="1">
        <f>P13+P14+P15</f>
        <v>-94000</v>
      </c>
      <c r="Q16" s="1">
        <f>Q13+Q14+Q15</f>
        <v>-43260.869565217356</v>
      </c>
      <c r="T16" s="1">
        <f>SUM(T13:T15)</f>
        <v>-50739.130434782608</v>
      </c>
    </row>
    <row r="19" spans="1:19">
      <c r="R19" t="s">
        <v>69</v>
      </c>
      <c r="S19">
        <f>Q16+T16</f>
        <v>-93999.999999999971</v>
      </c>
    </row>
    <row r="20" spans="1:19" ht="23">
      <c r="A20" s="131" t="s">
        <v>268</v>
      </c>
      <c r="B20" s="130"/>
      <c r="C20" s="130"/>
    </row>
    <row r="21" spans="1:19">
      <c r="B21" t="s">
        <v>14</v>
      </c>
      <c r="I21" t="s">
        <v>341</v>
      </c>
    </row>
    <row r="22" spans="1:19" ht="15">
      <c r="A22" s="135"/>
      <c r="B22" s="135" t="s">
        <v>3</v>
      </c>
      <c r="C22" s="135" t="s">
        <v>4</v>
      </c>
      <c r="D22" s="135" t="s">
        <v>5</v>
      </c>
      <c r="E22" s="135" t="s">
        <v>85</v>
      </c>
      <c r="F22" s="135" t="s">
        <v>7</v>
      </c>
      <c r="G22" s="135" t="s">
        <v>150</v>
      </c>
      <c r="H22" s="135"/>
      <c r="I22" s="135" t="s">
        <v>3</v>
      </c>
      <c r="J22" s="135" t="s">
        <v>4</v>
      </c>
      <c r="K22" s="135" t="s">
        <v>5</v>
      </c>
      <c r="L22" s="135" t="s">
        <v>85</v>
      </c>
      <c r="M22" s="135" t="s">
        <v>7</v>
      </c>
      <c r="N22" s="135" t="s">
        <v>150</v>
      </c>
      <c r="O22" s="135" t="s">
        <v>9</v>
      </c>
      <c r="P22" s="135"/>
      <c r="Q22" s="135"/>
    </row>
    <row r="23" spans="1:19" ht="15">
      <c r="A23" s="135" t="s">
        <v>184</v>
      </c>
      <c r="B23" s="135">
        <v>790</v>
      </c>
      <c r="C23" s="135">
        <v>275</v>
      </c>
      <c r="D23" s="135">
        <v>250</v>
      </c>
      <c r="E23" s="135">
        <f>C23-D23</f>
        <v>25</v>
      </c>
      <c r="F23" s="135">
        <f>B23/B25</f>
        <v>0.63200000000000001</v>
      </c>
      <c r="G23" s="135">
        <f>B23*E23</f>
        <v>19750</v>
      </c>
      <c r="H23" s="135"/>
      <c r="I23" s="135">
        <v>800</v>
      </c>
      <c r="J23" s="135">
        <v>273</v>
      </c>
      <c r="K23" s="135">
        <v>250</v>
      </c>
      <c r="L23" s="135">
        <f>J23-K23</f>
        <v>23</v>
      </c>
      <c r="M23" s="135">
        <f>I23/I25</f>
        <v>0.61538461538461542</v>
      </c>
      <c r="N23" s="135">
        <f>I23*L23</f>
        <v>18400</v>
      </c>
      <c r="O23" s="160">
        <f>G23-N23</f>
        <v>1350</v>
      </c>
      <c r="P23" s="135"/>
      <c r="Q23" s="135"/>
    </row>
    <row r="24" spans="1:19" ht="15">
      <c r="A24" s="135" t="s">
        <v>190</v>
      </c>
      <c r="B24" s="135">
        <v>460</v>
      </c>
      <c r="C24" s="135">
        <v>330</v>
      </c>
      <c r="D24" s="135">
        <v>280</v>
      </c>
      <c r="E24" s="135">
        <f>C24-D24</f>
        <v>50</v>
      </c>
      <c r="F24" s="135">
        <f>B24/B25</f>
        <v>0.36799999999999999</v>
      </c>
      <c r="G24" s="135">
        <f>B24*E24</f>
        <v>23000</v>
      </c>
      <c r="H24" s="135"/>
      <c r="I24" s="135">
        <v>500</v>
      </c>
      <c r="J24" s="135">
        <v>350</v>
      </c>
      <c r="K24" s="135">
        <v>280</v>
      </c>
      <c r="L24" s="135">
        <f>J24-K24</f>
        <v>70</v>
      </c>
      <c r="M24" s="135">
        <f>I24/I25</f>
        <v>0.38461538461538464</v>
      </c>
      <c r="N24" s="135">
        <f>I24*L24</f>
        <v>35000</v>
      </c>
      <c r="O24" s="161">
        <f>G24-N24</f>
        <v>-12000</v>
      </c>
      <c r="P24" s="135"/>
      <c r="Q24" s="135"/>
    </row>
    <row r="25" spans="1:19" ht="15">
      <c r="A25" s="135"/>
      <c r="B25" s="135">
        <f>B23+B24</f>
        <v>1250</v>
      </c>
      <c r="C25" s="135"/>
      <c r="D25" s="135"/>
      <c r="E25" s="135"/>
      <c r="F25" s="135"/>
      <c r="G25" s="135">
        <f>G23+G24</f>
        <v>42750</v>
      </c>
      <c r="H25" s="135"/>
      <c r="I25" s="135">
        <f>I23+I24</f>
        <v>1300</v>
      </c>
      <c r="J25" s="135"/>
      <c r="K25" s="135"/>
      <c r="L25" s="135"/>
      <c r="M25" s="135"/>
      <c r="N25" s="135">
        <f>SUM(N23:N24)</f>
        <v>53400</v>
      </c>
      <c r="O25" s="162">
        <f>G25-N25</f>
        <v>-10650</v>
      </c>
      <c r="P25" s="135">
        <f>N25-G25</f>
        <v>10650</v>
      </c>
      <c r="Q25" s="135"/>
    </row>
    <row r="26" spans="1:19" ht="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</row>
    <row r="27" spans="1:19" ht="1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30" spans="1:19">
      <c r="F30" t="s">
        <v>64</v>
      </c>
      <c r="G30" t="s">
        <v>231</v>
      </c>
      <c r="H30" t="s">
        <v>340</v>
      </c>
      <c r="I30" t="s">
        <v>197</v>
      </c>
      <c r="J30" t="s">
        <v>88</v>
      </c>
      <c r="K30" t="s">
        <v>197</v>
      </c>
    </row>
    <row r="31" spans="1:19">
      <c r="F31">
        <f>(B23-I23)*L23</f>
        <v>-230</v>
      </c>
      <c r="G31">
        <f>(F23-M23)*B25*L23</f>
        <v>477.69230769230688</v>
      </c>
      <c r="H31">
        <f>(B25-I25)*M23*L23</f>
        <v>-707.69230769230774</v>
      </c>
      <c r="J31">
        <f>(E23-L23)*B23</f>
        <v>1580</v>
      </c>
      <c r="K31" s="159">
        <f>G31+H31+J31</f>
        <v>1349.9999999999991</v>
      </c>
    </row>
    <row r="32" spans="1:19">
      <c r="F32">
        <f>(B24-I24)*L24</f>
        <v>-2800</v>
      </c>
      <c r="G32">
        <f>(F24-M24)*B25*L24</f>
        <v>-1453.8461538461561</v>
      </c>
      <c r="H32">
        <f>(B25-I25)*M24*L24</f>
        <v>-1346.1538461538464</v>
      </c>
      <c r="J32">
        <f>(E24-L24)*B24</f>
        <v>-9200</v>
      </c>
      <c r="K32" s="47">
        <f>G32+H32+J32</f>
        <v>-12000.000000000004</v>
      </c>
    </row>
    <row r="33" spans="1:13">
      <c r="F33">
        <f>F31+F32</f>
        <v>-3030</v>
      </c>
      <c r="G33">
        <f>G31+G32</f>
        <v>-976.15384615384914</v>
      </c>
      <c r="H33">
        <f>H31+H32</f>
        <v>-2053.8461538461543</v>
      </c>
      <c r="I33" s="164">
        <f>G33+H33</f>
        <v>-3030.0000000000036</v>
      </c>
      <c r="J33">
        <f>J31+J32</f>
        <v>-7620</v>
      </c>
      <c r="K33" s="163">
        <f>G33+H33+J33</f>
        <v>-10650.000000000004</v>
      </c>
    </row>
    <row r="43" spans="1:13" ht="23">
      <c r="A43" s="186" t="s">
        <v>269</v>
      </c>
      <c r="B43" s="186"/>
      <c r="C43" s="186"/>
      <c r="D43" s="186"/>
      <c r="E43" s="186"/>
      <c r="F43" s="186"/>
      <c r="G43" s="186"/>
      <c r="H43" s="186"/>
      <c r="I43" s="186"/>
    </row>
    <row r="45" spans="1:13">
      <c r="A45" s="2"/>
      <c r="B45" s="172" t="s">
        <v>86</v>
      </c>
      <c r="C45" s="173"/>
      <c r="D45" s="173"/>
      <c r="E45" s="173"/>
      <c r="F45" s="174"/>
      <c r="H45" s="2"/>
      <c r="I45" s="2"/>
      <c r="J45" s="175" t="s">
        <v>90</v>
      </c>
      <c r="K45" s="176"/>
      <c r="L45" s="176"/>
      <c r="M45" s="190"/>
    </row>
    <row r="46" spans="1:13">
      <c r="A46" s="2"/>
      <c r="B46" s="2" t="s">
        <v>3</v>
      </c>
      <c r="C46" s="2" t="s">
        <v>66</v>
      </c>
      <c r="D46" s="2" t="s">
        <v>5</v>
      </c>
      <c r="E46" s="2" t="s">
        <v>85</v>
      </c>
      <c r="F46" s="2" t="s">
        <v>39</v>
      </c>
      <c r="H46" s="2"/>
      <c r="I46" s="2" t="s">
        <v>3</v>
      </c>
      <c r="J46" s="2" t="s">
        <v>66</v>
      </c>
      <c r="K46" s="2" t="s">
        <v>5</v>
      </c>
      <c r="L46" s="2" t="s">
        <v>85</v>
      </c>
      <c r="M46" s="2" t="s">
        <v>39</v>
      </c>
    </row>
    <row r="47" spans="1:13">
      <c r="A47" s="19" t="s">
        <v>84</v>
      </c>
      <c r="B47" s="2">
        <v>9000</v>
      </c>
      <c r="C47" s="2">
        <v>10</v>
      </c>
      <c r="D47" s="2">
        <v>6</v>
      </c>
      <c r="E47" s="2">
        <f>C47-D47</f>
        <v>4</v>
      </c>
      <c r="F47" s="2">
        <f>E47*B47</f>
        <v>36000</v>
      </c>
      <c r="H47" s="19" t="s">
        <v>84</v>
      </c>
      <c r="I47" s="2">
        <v>9000</v>
      </c>
      <c r="J47" s="2">
        <v>10</v>
      </c>
      <c r="K47" s="2">
        <v>7</v>
      </c>
      <c r="L47" s="2">
        <f>J47-K47</f>
        <v>3</v>
      </c>
      <c r="M47" s="2">
        <f>L47*I47</f>
        <v>27000</v>
      </c>
    </row>
    <row r="51" spans="1:15">
      <c r="A51" s="2"/>
      <c r="B51" s="182" t="s">
        <v>87</v>
      </c>
      <c r="C51" s="183"/>
      <c r="D51" s="183"/>
      <c r="E51" s="183"/>
      <c r="F51" s="184"/>
      <c r="G51" s="23" t="s">
        <v>71</v>
      </c>
      <c r="H51" s="8"/>
    </row>
    <row r="52" spans="1:15">
      <c r="A52" s="2"/>
      <c r="B52" s="2" t="s">
        <v>3</v>
      </c>
      <c r="C52" s="2" t="s">
        <v>66</v>
      </c>
      <c r="D52" s="2" t="s">
        <v>5</v>
      </c>
      <c r="E52" s="2" t="s">
        <v>85</v>
      </c>
      <c r="F52" s="2" t="s">
        <v>39</v>
      </c>
      <c r="G52" s="22"/>
      <c r="H52" s="8"/>
    </row>
    <row r="53" spans="1:15">
      <c r="A53" s="19" t="s">
        <v>84</v>
      </c>
      <c r="B53" s="2">
        <v>8000</v>
      </c>
      <c r="C53" s="2">
        <v>10.5</v>
      </c>
      <c r="D53" s="2">
        <v>7</v>
      </c>
      <c r="E53" s="2">
        <f>C53-D53</f>
        <v>3.5</v>
      </c>
      <c r="F53" s="2">
        <f>E53*B53</f>
        <v>28000</v>
      </c>
      <c r="G53" s="22">
        <f>M47-F53</f>
        <v>-1000</v>
      </c>
      <c r="H53" s="8"/>
    </row>
    <row r="55" spans="1:15" ht="16">
      <c r="A55" s="185" t="s">
        <v>163</v>
      </c>
      <c r="B55" s="185"/>
      <c r="C55" s="185"/>
      <c r="D55" s="185"/>
    </row>
    <row r="56" spans="1:15" ht="16">
      <c r="A56" s="30"/>
      <c r="B56" s="30"/>
      <c r="C56" s="30"/>
      <c r="D56" s="30"/>
    </row>
    <row r="57" spans="1:15">
      <c r="A57" s="28" t="s">
        <v>88</v>
      </c>
      <c r="B57">
        <f>(L47-E53)*I47</f>
        <v>-4500</v>
      </c>
      <c r="D57" s="171" t="s">
        <v>155</v>
      </c>
      <c r="E57" s="171"/>
      <c r="F57" s="171"/>
      <c r="G57" t="s">
        <v>11</v>
      </c>
      <c r="H57">
        <f>(E47-E53)*B47</f>
        <v>4500</v>
      </c>
      <c r="J57" t="s">
        <v>48</v>
      </c>
      <c r="K57">
        <f>(C47-C53)*B47</f>
        <v>-4500</v>
      </c>
    </row>
    <row r="58" spans="1:15">
      <c r="A58" s="28" t="s">
        <v>89</v>
      </c>
      <c r="B58">
        <f>(I47-B53)*E53</f>
        <v>3500</v>
      </c>
      <c r="D58" s="171" t="s">
        <v>156</v>
      </c>
      <c r="E58" s="171"/>
      <c r="F58" s="171"/>
      <c r="G58" t="s">
        <v>49</v>
      </c>
      <c r="H58">
        <f>(B47-B53)*E53</f>
        <v>3500</v>
      </c>
      <c r="J58" t="s">
        <v>342</v>
      </c>
      <c r="K58">
        <f>(D47-D53)*B47</f>
        <v>-9000</v>
      </c>
    </row>
    <row r="59" spans="1:15">
      <c r="A59" t="s">
        <v>69</v>
      </c>
      <c r="B59">
        <f>SUM(B57:B58)</f>
        <v>-1000</v>
      </c>
    </row>
    <row r="62" spans="1:15" ht="23">
      <c r="A62" s="186" t="s">
        <v>270</v>
      </c>
      <c r="B62" s="186"/>
      <c r="C62" s="186"/>
      <c r="D62" s="186"/>
      <c r="E62" s="186"/>
      <c r="F62" s="186"/>
      <c r="G62" s="186"/>
      <c r="H62" s="186"/>
    </row>
    <row r="64" spans="1:15">
      <c r="A64" s="2"/>
      <c r="B64" s="172" t="s">
        <v>86</v>
      </c>
      <c r="C64" s="173"/>
      <c r="D64" s="173"/>
      <c r="E64" s="173"/>
      <c r="F64" s="173"/>
      <c r="G64" s="174"/>
      <c r="I64" s="2"/>
      <c r="J64" s="175" t="s">
        <v>92</v>
      </c>
      <c r="K64" s="176"/>
      <c r="L64" s="176"/>
      <c r="M64" s="176"/>
      <c r="N64" s="176"/>
      <c r="O64" s="177"/>
    </row>
    <row r="65" spans="1:15">
      <c r="A65" s="2"/>
      <c r="B65" s="2" t="s">
        <v>3</v>
      </c>
      <c r="C65" s="2" t="s">
        <v>66</v>
      </c>
      <c r="D65" s="2" t="s">
        <v>5</v>
      </c>
      <c r="E65" s="2" t="s">
        <v>85</v>
      </c>
      <c r="F65" s="2" t="s">
        <v>39</v>
      </c>
      <c r="G65" s="2" t="s">
        <v>7</v>
      </c>
      <c r="I65" s="2"/>
      <c r="J65" s="2" t="s">
        <v>3</v>
      </c>
      <c r="K65" s="2" t="s">
        <v>66</v>
      </c>
      <c r="L65" s="2" t="s">
        <v>5</v>
      </c>
      <c r="M65" s="2" t="s">
        <v>85</v>
      </c>
      <c r="N65" s="2" t="s">
        <v>39</v>
      </c>
      <c r="O65" s="2" t="s">
        <v>7</v>
      </c>
    </row>
    <row r="66" spans="1:15">
      <c r="A66" s="19" t="s">
        <v>72</v>
      </c>
      <c r="B66" s="2">
        <v>1148</v>
      </c>
      <c r="C66" s="2">
        <v>1.7</v>
      </c>
      <c r="D66" s="2">
        <v>1.4</v>
      </c>
      <c r="E66" s="2">
        <f>C66-D66</f>
        <v>0.30000000000000004</v>
      </c>
      <c r="F66" s="2">
        <f>E66*B66</f>
        <v>344.40000000000003</v>
      </c>
      <c r="G66" s="2">
        <f>B66/B68</f>
        <v>0.56000000000000005</v>
      </c>
      <c r="I66" s="19" t="s">
        <v>72</v>
      </c>
      <c r="J66" s="2">
        <v>1148</v>
      </c>
      <c r="K66" s="2">
        <v>1.7</v>
      </c>
      <c r="L66" s="2">
        <v>1.45</v>
      </c>
      <c r="M66" s="2">
        <f>K66-L66</f>
        <v>0.25</v>
      </c>
      <c r="N66" s="2">
        <f>M66*J66</f>
        <v>287</v>
      </c>
      <c r="O66" s="2">
        <f>J66/J68</f>
        <v>0.56000000000000005</v>
      </c>
    </row>
    <row r="67" spans="1:15">
      <c r="A67" s="19" t="s">
        <v>91</v>
      </c>
      <c r="B67" s="2">
        <v>902</v>
      </c>
      <c r="C67" s="2">
        <v>2.15</v>
      </c>
      <c r="D67" s="2">
        <v>1.85</v>
      </c>
      <c r="E67" s="2">
        <f>C67-D67</f>
        <v>0.29999999999999982</v>
      </c>
      <c r="F67" s="2">
        <f>E67*B67</f>
        <v>270.59999999999985</v>
      </c>
      <c r="G67" s="2">
        <f>B67/B68</f>
        <v>0.44</v>
      </c>
      <c r="I67" s="19" t="s">
        <v>91</v>
      </c>
      <c r="J67" s="2">
        <v>902</v>
      </c>
      <c r="K67" s="2">
        <v>2.15</v>
      </c>
      <c r="L67" s="2">
        <v>1.8</v>
      </c>
      <c r="M67" s="2">
        <f>K67-L67</f>
        <v>0.34999999999999987</v>
      </c>
      <c r="N67" s="2">
        <f>M67*J67</f>
        <v>315.69999999999987</v>
      </c>
      <c r="O67" s="2">
        <f>J67/J68</f>
        <v>0.44</v>
      </c>
    </row>
    <row r="68" spans="1:15">
      <c r="A68" s="2"/>
      <c r="B68" s="2">
        <f>SUM(B66:B67)</f>
        <v>2050</v>
      </c>
      <c r="C68" s="2"/>
      <c r="D68" s="2"/>
      <c r="E68" s="2"/>
      <c r="F68" s="2"/>
      <c r="G68" s="2"/>
      <c r="I68" s="2"/>
      <c r="J68" s="2">
        <f>SUM(J66:J67)</f>
        <v>2050</v>
      </c>
      <c r="K68" s="2"/>
      <c r="L68" s="2"/>
      <c r="M68" s="2"/>
      <c r="N68" s="2">
        <f>SUM(N66:N67)</f>
        <v>602.69999999999982</v>
      </c>
      <c r="O68" s="2"/>
    </row>
    <row r="71" spans="1:15">
      <c r="A71" s="2"/>
      <c r="B71" s="182" t="s">
        <v>93</v>
      </c>
      <c r="C71" s="183"/>
      <c r="D71" s="183"/>
      <c r="E71" s="183"/>
      <c r="F71" s="183"/>
      <c r="G71" s="184"/>
    </row>
    <row r="72" spans="1:15">
      <c r="A72" s="2"/>
      <c r="B72" s="2" t="s">
        <v>3</v>
      </c>
      <c r="C72" s="2" t="s">
        <v>66</v>
      </c>
      <c r="D72" s="2" t="s">
        <v>5</v>
      </c>
      <c r="E72" s="2" t="s">
        <v>85</v>
      </c>
      <c r="F72" s="2" t="s">
        <v>39</v>
      </c>
      <c r="G72" s="2" t="s">
        <v>7</v>
      </c>
      <c r="I72" s="2" t="s">
        <v>71</v>
      </c>
    </row>
    <row r="73" spans="1:15">
      <c r="A73" s="19" t="s">
        <v>72</v>
      </c>
      <c r="B73" s="2">
        <v>1200</v>
      </c>
      <c r="C73" s="2">
        <v>1.6</v>
      </c>
      <c r="D73" s="2">
        <v>1.45</v>
      </c>
      <c r="E73" s="2">
        <f>C73-D73</f>
        <v>0.15000000000000013</v>
      </c>
      <c r="F73" s="2">
        <f>E73*B73</f>
        <v>180.00000000000017</v>
      </c>
      <c r="G73" s="2">
        <f>B73/B75</f>
        <v>0.6</v>
      </c>
      <c r="I73" s="2">
        <f>N66-F73</f>
        <v>106.99999999999983</v>
      </c>
    </row>
    <row r="74" spans="1:15">
      <c r="A74" s="19" t="s">
        <v>91</v>
      </c>
      <c r="B74" s="2">
        <v>800</v>
      </c>
      <c r="C74" s="2">
        <v>2.1</v>
      </c>
      <c r="D74" s="2">
        <v>1.8</v>
      </c>
      <c r="E74" s="2">
        <f>C74-D74</f>
        <v>0.30000000000000004</v>
      </c>
      <c r="F74" s="2">
        <f>E74*B74</f>
        <v>240.00000000000003</v>
      </c>
      <c r="G74" s="2">
        <f>B74/B75</f>
        <v>0.4</v>
      </c>
      <c r="I74" s="2">
        <f>N67-F74</f>
        <v>75.699999999999847</v>
      </c>
    </row>
    <row r="75" spans="1:15">
      <c r="A75" s="2"/>
      <c r="B75" s="2">
        <f>SUM(B73:B74)</f>
        <v>2000</v>
      </c>
      <c r="C75" s="2"/>
      <c r="D75" s="2"/>
      <c r="E75" s="2"/>
      <c r="F75" s="2">
        <f>SUM(F73:F74)</f>
        <v>420.00000000000023</v>
      </c>
      <c r="G75" s="2"/>
      <c r="I75" s="3">
        <f>N68-F75</f>
        <v>182.69999999999959</v>
      </c>
    </row>
    <row r="77" spans="1:15" ht="16">
      <c r="A77" s="185" t="s">
        <v>163</v>
      </c>
      <c r="B77" s="185"/>
      <c r="C77" s="185"/>
      <c r="D77" s="185"/>
      <c r="I77" t="s">
        <v>157</v>
      </c>
      <c r="J77">
        <f>(E73*B73+E74*B74)/B75</f>
        <v>0.2100000000000001</v>
      </c>
    </row>
    <row r="79" spans="1:15">
      <c r="B79" s="4" t="s">
        <v>94</v>
      </c>
      <c r="D79">
        <f>C80+C81</f>
        <v>159.89999999999969</v>
      </c>
      <c r="F79" s="4" t="s">
        <v>10</v>
      </c>
      <c r="H79">
        <f>F80+F81</f>
        <v>12.300000000000002</v>
      </c>
      <c r="I79" s="4" t="s">
        <v>81</v>
      </c>
    </row>
    <row r="80" spans="1:15">
      <c r="C80">
        <f>(M66-E73)*J66</f>
        <v>114.79999999999984</v>
      </c>
      <c r="F80">
        <f>(G66-G73)*E73*B68</f>
        <v>-12.299999999999988</v>
      </c>
      <c r="I80">
        <f>(B68-B75)*J77</f>
        <v>10.500000000000005</v>
      </c>
    </row>
    <row r="81" spans="1:15">
      <c r="C81">
        <f>(M67-E74)*J67</f>
        <v>45.099999999999838</v>
      </c>
      <c r="F81">
        <f>(G67-G74)*E74*B68</f>
        <v>24.599999999999991</v>
      </c>
    </row>
    <row r="82" spans="1:15">
      <c r="I82">
        <f>(J68-B75)*E73*G73</f>
        <v>4.5000000000000044</v>
      </c>
    </row>
    <row r="83" spans="1:15">
      <c r="B83" t="s">
        <v>69</v>
      </c>
      <c r="C83" s="1">
        <f>D79+H79+I80</f>
        <v>182.6999999999997</v>
      </c>
      <c r="I83">
        <f>(J68-B75)*E74*G74</f>
        <v>6.0000000000000009</v>
      </c>
    </row>
    <row r="87" spans="1:15" ht="20">
      <c r="A87" s="5" t="s">
        <v>141</v>
      </c>
    </row>
    <row r="89" spans="1:15">
      <c r="A89" s="2"/>
      <c r="B89" s="187" t="s">
        <v>86</v>
      </c>
      <c r="C89" s="187"/>
      <c r="D89" s="187"/>
      <c r="E89" s="187"/>
      <c r="F89" s="187"/>
      <c r="G89" s="188"/>
      <c r="I89" s="2"/>
      <c r="J89" s="189" t="s">
        <v>93</v>
      </c>
      <c r="K89" s="189"/>
      <c r="L89" s="189"/>
      <c r="M89" s="189"/>
      <c r="N89" s="189"/>
      <c r="O89" s="189"/>
    </row>
    <row r="90" spans="1:15">
      <c r="A90" s="2"/>
      <c r="B90" s="2" t="s">
        <v>3</v>
      </c>
      <c r="C90" s="2" t="s">
        <v>66</v>
      </c>
      <c r="D90" s="2" t="s">
        <v>5</v>
      </c>
      <c r="E90" s="2" t="s">
        <v>85</v>
      </c>
      <c r="F90" s="2" t="s">
        <v>39</v>
      </c>
      <c r="G90" s="2" t="s">
        <v>7</v>
      </c>
      <c r="I90" s="2"/>
      <c r="J90" s="2" t="s">
        <v>3</v>
      </c>
      <c r="K90" s="2" t="s">
        <v>66</v>
      </c>
      <c r="L90" s="2" t="s">
        <v>5</v>
      </c>
      <c r="M90" s="2" t="s">
        <v>85</v>
      </c>
      <c r="N90" s="2" t="s">
        <v>39</v>
      </c>
      <c r="O90" s="27" t="s">
        <v>7</v>
      </c>
    </row>
    <row r="91" spans="1:15">
      <c r="A91" s="19" t="s">
        <v>142</v>
      </c>
      <c r="B91" s="2">
        <v>1000</v>
      </c>
      <c r="C91" s="2">
        <v>3</v>
      </c>
      <c r="D91" s="2">
        <v>1.5</v>
      </c>
      <c r="E91" s="2">
        <f>C91-D91</f>
        <v>1.5</v>
      </c>
      <c r="F91" s="2">
        <f>E91*B91</f>
        <v>1500</v>
      </c>
      <c r="G91" s="2">
        <f>B91/B93</f>
        <v>0.25</v>
      </c>
      <c r="I91" s="19" t="s">
        <v>142</v>
      </c>
      <c r="J91" s="2">
        <v>1500</v>
      </c>
      <c r="K91" s="2">
        <v>2.5</v>
      </c>
      <c r="L91" s="2">
        <v>1.25</v>
      </c>
      <c r="M91" s="2">
        <f>K91-L91</f>
        <v>1.25</v>
      </c>
      <c r="N91" s="2">
        <f>M91*J91</f>
        <v>1875</v>
      </c>
      <c r="O91" s="2">
        <f>J91/J93</f>
        <v>0.375</v>
      </c>
    </row>
    <row r="92" spans="1:15">
      <c r="A92" s="19" t="s">
        <v>143</v>
      </c>
      <c r="B92" s="2">
        <v>3000</v>
      </c>
      <c r="C92" s="2">
        <v>2</v>
      </c>
      <c r="D92" s="2">
        <v>1</v>
      </c>
      <c r="E92" s="2">
        <f>C92-D92</f>
        <v>1</v>
      </c>
      <c r="F92" s="2">
        <f>E92*B92</f>
        <v>3000</v>
      </c>
      <c r="G92" s="2">
        <f>B92/B93</f>
        <v>0.75</v>
      </c>
      <c r="I92" s="19" t="s">
        <v>143</v>
      </c>
      <c r="J92" s="2">
        <v>2500</v>
      </c>
      <c r="K92" s="2">
        <v>2.2999999999999998</v>
      </c>
      <c r="L92" s="2">
        <v>0.9</v>
      </c>
      <c r="M92" s="2">
        <f>K92-L92</f>
        <v>1.4</v>
      </c>
      <c r="N92" s="2">
        <f>M92*J92</f>
        <v>3500</v>
      </c>
      <c r="O92" s="2">
        <f>J92/J93</f>
        <v>0.625</v>
      </c>
    </row>
    <row r="93" spans="1:15">
      <c r="A93" s="2"/>
      <c r="B93" s="2">
        <f>SUM(B91:B92)</f>
        <v>4000</v>
      </c>
      <c r="C93" s="2"/>
      <c r="D93" s="2"/>
      <c r="E93" s="2"/>
      <c r="F93" s="2"/>
      <c r="G93" s="2"/>
      <c r="I93" s="2"/>
      <c r="J93" s="2">
        <f>SUM(J91:J92)</f>
        <v>4000</v>
      </c>
      <c r="K93" s="2"/>
      <c r="L93" s="2"/>
      <c r="M93" s="2"/>
      <c r="N93" s="2">
        <f>SUM(N91:N92)</f>
        <v>5375</v>
      </c>
      <c r="O93" s="2"/>
    </row>
    <row r="96" spans="1:15">
      <c r="A96" s="25"/>
      <c r="B96" s="182" t="s">
        <v>144</v>
      </c>
      <c r="C96" s="183"/>
      <c r="D96" s="183"/>
      <c r="E96" s="183"/>
      <c r="F96" s="183"/>
      <c r="G96" s="184"/>
    </row>
    <row r="97" spans="1:11">
      <c r="A97" s="25"/>
      <c r="B97" s="2" t="s">
        <v>3</v>
      </c>
      <c r="C97" s="2" t="s">
        <v>66</v>
      </c>
      <c r="D97" s="2" t="s">
        <v>5</v>
      </c>
      <c r="E97" s="2" t="s">
        <v>85</v>
      </c>
      <c r="F97" s="2" t="s">
        <v>39</v>
      </c>
      <c r="G97" s="2" t="s">
        <v>7</v>
      </c>
      <c r="H97" s="27" t="s">
        <v>71</v>
      </c>
    </row>
    <row r="98" spans="1:11">
      <c r="A98" s="26" t="s">
        <v>142</v>
      </c>
      <c r="B98" s="2">
        <v>1000</v>
      </c>
      <c r="C98" s="2">
        <v>3</v>
      </c>
      <c r="D98" s="2">
        <v>1.25</v>
      </c>
      <c r="E98" s="2">
        <f>C98-D98</f>
        <v>1.75</v>
      </c>
      <c r="F98" s="2">
        <f>E98*B98</f>
        <v>1750</v>
      </c>
      <c r="G98" s="2">
        <f>B98/B100</f>
        <v>0.25</v>
      </c>
      <c r="H98" s="2">
        <f>F98-N91</f>
        <v>-125</v>
      </c>
    </row>
    <row r="99" spans="1:11">
      <c r="A99" s="26" t="s">
        <v>143</v>
      </c>
      <c r="B99" s="2">
        <v>3000</v>
      </c>
      <c r="C99" s="2">
        <v>2</v>
      </c>
      <c r="D99" s="2">
        <v>0.9</v>
      </c>
      <c r="E99" s="2">
        <f>C99-D99</f>
        <v>1.1000000000000001</v>
      </c>
      <c r="F99" s="2">
        <f>E99*B99</f>
        <v>3300.0000000000005</v>
      </c>
      <c r="G99" s="2">
        <f>B99/B100</f>
        <v>0.75</v>
      </c>
      <c r="H99" s="2">
        <f>F99-N92</f>
        <v>-199.99999999999955</v>
      </c>
    </row>
    <row r="100" spans="1:11">
      <c r="B100" s="2">
        <f>SUM(B98:B99)</f>
        <v>4000</v>
      </c>
      <c r="C100" s="2"/>
      <c r="D100" s="2"/>
      <c r="E100" s="2"/>
      <c r="F100" s="2">
        <f>SUM(F98:F99)</f>
        <v>5050</v>
      </c>
      <c r="G100" s="2"/>
      <c r="H100" s="3">
        <f>F100-N93</f>
        <v>-325</v>
      </c>
    </row>
    <row r="101" spans="1:11">
      <c r="I101" t="s">
        <v>145</v>
      </c>
      <c r="J101">
        <f>((M91*J91)+(M92*J92))/J93</f>
        <v>1.34375</v>
      </c>
    </row>
    <row r="102" spans="1:11" ht="16">
      <c r="A102" s="185" t="s">
        <v>163</v>
      </c>
      <c r="B102" s="185"/>
      <c r="C102" s="185"/>
      <c r="D102" s="185"/>
    </row>
    <row r="103" spans="1:11" ht="16">
      <c r="A103" s="30"/>
      <c r="B103" s="30"/>
      <c r="C103" s="30"/>
      <c r="D103" s="30"/>
    </row>
    <row r="104" spans="1:11">
      <c r="A104" s="28" t="s">
        <v>10</v>
      </c>
      <c r="C104" s="4">
        <f>A105+A106</f>
        <v>75</v>
      </c>
      <c r="E104" s="28" t="s">
        <v>11</v>
      </c>
      <c r="G104" s="4">
        <f>E105+E106</f>
        <v>-399.99999999999943</v>
      </c>
      <c r="I104" s="28" t="s">
        <v>12</v>
      </c>
      <c r="K104" s="4">
        <v>0</v>
      </c>
    </row>
    <row r="105" spans="1:11">
      <c r="A105">
        <f>(G98-O91)*B100*M91</f>
        <v>-625</v>
      </c>
      <c r="E105">
        <f>(E98-M91)*B98</f>
        <v>500</v>
      </c>
      <c r="I105">
        <f>(B100-J93)*J101</f>
        <v>0</v>
      </c>
    </row>
    <row r="106" spans="1:11">
      <c r="A106">
        <f>(G99-O92)*B100*M92</f>
        <v>700</v>
      </c>
      <c r="E106" s="20">
        <f>(E99-M92)*B99</f>
        <v>-899.99999999999943</v>
      </c>
    </row>
    <row r="107" spans="1:11">
      <c r="A107" t="s">
        <v>69</v>
      </c>
      <c r="B107" s="1">
        <f>C104+G104+K104</f>
        <v>-324.99999999999943</v>
      </c>
      <c r="E107" s="20"/>
    </row>
  </sheetData>
  <mergeCells count="19">
    <mergeCell ref="J64:O64"/>
    <mergeCell ref="B71:G71"/>
    <mergeCell ref="B89:G89"/>
    <mergeCell ref="J89:O89"/>
    <mergeCell ref="A1:E1"/>
    <mergeCell ref="D57:F57"/>
    <mergeCell ref="D58:F58"/>
    <mergeCell ref="B45:F45"/>
    <mergeCell ref="J45:M45"/>
    <mergeCell ref="B51:F51"/>
    <mergeCell ref="B11:D11"/>
    <mergeCell ref="E11:G11"/>
    <mergeCell ref="A43:I43"/>
    <mergeCell ref="B96:G96"/>
    <mergeCell ref="A55:D55"/>
    <mergeCell ref="A77:D77"/>
    <mergeCell ref="A102:D102"/>
    <mergeCell ref="B64:G64"/>
    <mergeCell ref="A62:H62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A3" zoomScale="125" zoomScaleNormal="125" zoomScalePageLayoutView="125" workbookViewId="0">
      <selection activeCell="F29" sqref="F29"/>
    </sheetView>
  </sheetViews>
  <sheetFormatPr baseColWidth="10" defaultRowHeight="14" x14ac:dyDescent="0"/>
  <cols>
    <col min="1" max="1" width="23.1640625" customWidth="1"/>
    <col min="2" max="2" width="12" bestFit="1" customWidth="1"/>
    <col min="3" max="3" width="11.1640625" bestFit="1" customWidth="1"/>
    <col min="4" max="4" width="12" bestFit="1" customWidth="1"/>
    <col min="5" max="5" width="15.83203125" customWidth="1"/>
    <col min="6" max="6" width="11.1640625" bestFit="1" customWidth="1"/>
  </cols>
  <sheetData>
    <row r="2" spans="1:13" ht="23">
      <c r="A2" s="186" t="s">
        <v>271</v>
      </c>
      <c r="B2" s="186"/>
      <c r="C2" s="186"/>
      <c r="D2" s="186"/>
      <c r="E2" s="186"/>
    </row>
    <row r="4" spans="1:13">
      <c r="A4" s="2"/>
      <c r="B4" s="172" t="s">
        <v>146</v>
      </c>
      <c r="C4" s="173"/>
      <c r="D4" s="173"/>
      <c r="E4" s="174"/>
      <c r="G4" s="175" t="s">
        <v>151</v>
      </c>
      <c r="H4" s="176"/>
      <c r="I4" s="176"/>
      <c r="J4" s="176"/>
      <c r="K4" s="190"/>
      <c r="M4" s="42" t="s">
        <v>9</v>
      </c>
    </row>
    <row r="5" spans="1:13">
      <c r="A5" s="2"/>
      <c r="B5" s="36" t="s">
        <v>3</v>
      </c>
      <c r="C5" s="36" t="s">
        <v>66</v>
      </c>
      <c r="D5" s="36" t="s">
        <v>150</v>
      </c>
      <c r="E5" s="36" t="s">
        <v>7</v>
      </c>
      <c r="G5" s="37"/>
      <c r="H5" s="37" t="s">
        <v>3</v>
      </c>
      <c r="I5" s="37" t="s">
        <v>66</v>
      </c>
      <c r="J5" s="37" t="s">
        <v>150</v>
      </c>
      <c r="K5" s="37" t="s">
        <v>7</v>
      </c>
      <c r="M5" s="42"/>
    </row>
    <row r="6" spans="1:13">
      <c r="A6" s="2" t="s">
        <v>147</v>
      </c>
      <c r="B6" s="2">
        <v>100</v>
      </c>
      <c r="C6" s="2">
        <v>4700</v>
      </c>
      <c r="D6" s="2">
        <f>B6*C6</f>
        <v>470000</v>
      </c>
      <c r="E6" s="2">
        <f>B6/B9</f>
        <v>0.18867924528301888</v>
      </c>
      <c r="G6" s="2" t="s">
        <v>147</v>
      </c>
      <c r="H6" s="2">
        <v>80</v>
      </c>
      <c r="I6" s="2">
        <v>4775</v>
      </c>
      <c r="J6" s="2">
        <f>H6*I6</f>
        <v>382000</v>
      </c>
      <c r="K6" s="2">
        <f>H6/H9</f>
        <v>0.14814814814814814</v>
      </c>
      <c r="M6" s="42">
        <f>D6-J6</f>
        <v>88000</v>
      </c>
    </row>
    <row r="7" spans="1:13">
      <c r="A7" s="2" t="s">
        <v>148</v>
      </c>
      <c r="B7" s="2">
        <v>150</v>
      </c>
      <c r="C7" s="2">
        <v>9050</v>
      </c>
      <c r="D7" s="2">
        <f t="shared" ref="D7:D8" si="0">B7*C7</f>
        <v>1357500</v>
      </c>
      <c r="E7" s="2">
        <f>B7/B9</f>
        <v>0.28301886792452829</v>
      </c>
      <c r="G7" s="2" t="s">
        <v>148</v>
      </c>
      <c r="H7" s="2">
        <v>160</v>
      </c>
      <c r="I7" s="2">
        <v>9000</v>
      </c>
      <c r="J7" s="2">
        <f t="shared" ref="J7:J8" si="1">H7*I7</f>
        <v>1440000</v>
      </c>
      <c r="K7" s="2">
        <f>H7/H9</f>
        <v>0.29629629629629628</v>
      </c>
      <c r="M7" s="42">
        <f t="shared" ref="M7:M9" si="2">D7-J7</f>
        <v>-82500</v>
      </c>
    </row>
    <row r="8" spans="1:13">
      <c r="A8" s="2" t="s">
        <v>149</v>
      </c>
      <c r="B8" s="2">
        <v>280</v>
      </c>
      <c r="C8" s="2">
        <v>9500</v>
      </c>
      <c r="D8" s="2">
        <f t="shared" si="0"/>
        <v>2660000</v>
      </c>
      <c r="E8" s="2">
        <f>B8/B9</f>
        <v>0.52830188679245282</v>
      </c>
      <c r="G8" s="2" t="s">
        <v>149</v>
      </c>
      <c r="H8" s="2">
        <v>300</v>
      </c>
      <c r="I8" s="2">
        <v>9660</v>
      </c>
      <c r="J8" s="2">
        <f t="shared" si="1"/>
        <v>2898000</v>
      </c>
      <c r="K8" s="2">
        <f>H8/H9</f>
        <v>0.55555555555555558</v>
      </c>
      <c r="M8" s="42">
        <f t="shared" si="2"/>
        <v>-238000</v>
      </c>
    </row>
    <row r="9" spans="1:13">
      <c r="A9" s="2"/>
      <c r="B9" s="2">
        <f>SUM(B6:B8)</f>
        <v>530</v>
      </c>
      <c r="C9" s="2"/>
      <c r="D9" s="2">
        <f>SUM(D6:D8)</f>
        <v>4487500</v>
      </c>
      <c r="E9" s="2"/>
      <c r="G9" s="2"/>
      <c r="H9" s="2">
        <f>SUM(H6:H8)</f>
        <v>540</v>
      </c>
      <c r="I9" s="2"/>
      <c r="J9" s="2">
        <f>SUM(J6:J8)</f>
        <v>4720000</v>
      </c>
      <c r="K9" s="2"/>
      <c r="M9" s="42">
        <f t="shared" si="2"/>
        <v>-232500</v>
      </c>
    </row>
    <row r="11" spans="1:13">
      <c r="J11">
        <f>B12+F12</f>
        <v>-232500</v>
      </c>
    </row>
    <row r="12" spans="1:13">
      <c r="A12" s="4" t="s">
        <v>63</v>
      </c>
      <c r="B12" s="4">
        <f>SUM(B13:B15)</f>
        <v>-44800</v>
      </c>
      <c r="D12" s="4" t="s">
        <v>64</v>
      </c>
      <c r="F12" s="4">
        <f>SUM(D13:D15)</f>
        <v>-187700</v>
      </c>
    </row>
    <row r="13" spans="1:13">
      <c r="A13" t="s">
        <v>147</v>
      </c>
      <c r="B13">
        <f>(C6-I6)*B6</f>
        <v>-7500</v>
      </c>
      <c r="D13">
        <f>(B6-H6)*I6</f>
        <v>95500</v>
      </c>
    </row>
    <row r="14" spans="1:13">
      <c r="A14" t="s">
        <v>148</v>
      </c>
      <c r="B14">
        <f>(C7-I7)*B7</f>
        <v>7500</v>
      </c>
      <c r="D14">
        <f>(B7-H7)*I7</f>
        <v>-90000</v>
      </c>
    </row>
    <row r="15" spans="1:13">
      <c r="A15" t="s">
        <v>149</v>
      </c>
      <c r="B15">
        <f>(C8-I8)*B8</f>
        <v>-44800</v>
      </c>
      <c r="D15">
        <f>(B8-H8)*I8</f>
        <v>-193200</v>
      </c>
    </row>
    <row r="18" spans="4:12">
      <c r="D18" s="4" t="s">
        <v>81</v>
      </c>
      <c r="F18" t="s">
        <v>152</v>
      </c>
      <c r="G18">
        <f>(I6*H6+I7*H7+I8*H8)/H9</f>
        <v>8740.7407407407409</v>
      </c>
      <c r="I18" s="4" t="s">
        <v>10</v>
      </c>
      <c r="K18" s="4">
        <f>I19+I20+I21</f>
        <v>-100292.59259259267</v>
      </c>
    </row>
    <row r="19" spans="4:12">
      <c r="I19">
        <f>(E6-K6)*B9*I6</f>
        <v>102574.07407407412</v>
      </c>
    </row>
    <row r="20" spans="4:12">
      <c r="D20">
        <f>(B9-H9)*G18</f>
        <v>-87407.407407407416</v>
      </c>
      <c r="I20">
        <f>(E7-K7)*I7*B9</f>
        <v>-63333.333333333292</v>
      </c>
    </row>
    <row r="21" spans="4:12">
      <c r="I21">
        <f>(E8-K8)*I8*B9</f>
        <v>-139533.33333333349</v>
      </c>
    </row>
    <row r="23" spans="4:12">
      <c r="D23" s="191" t="s">
        <v>154</v>
      </c>
      <c r="E23" s="191"/>
      <c r="F23" s="191"/>
      <c r="I23" s="191" t="s">
        <v>153</v>
      </c>
      <c r="J23" s="191"/>
      <c r="K23" s="191"/>
      <c r="L23" s="191"/>
    </row>
    <row r="24" spans="4:12">
      <c r="D24" s="171"/>
      <c r="E24" s="171"/>
      <c r="I24" s="171" t="s">
        <v>160</v>
      </c>
      <c r="J24" s="171"/>
      <c r="K24" s="171"/>
      <c r="L24" s="171"/>
    </row>
    <row r="26" spans="4:12">
      <c r="D26" s="4" t="s">
        <v>159</v>
      </c>
      <c r="F26">
        <f>F27+F28+F29</f>
        <v>-87407.407407407401</v>
      </c>
    </row>
    <row r="27" spans="4:12">
      <c r="D27" s="21" t="s">
        <v>158</v>
      </c>
      <c r="F27">
        <f>(B9-H9)*K6*I6</f>
        <v>-7074.0740740740739</v>
      </c>
    </row>
    <row r="28" spans="4:12">
      <c r="F28">
        <f>(B9-H9)*K7*I7</f>
        <v>-26666.666666666664</v>
      </c>
    </row>
    <row r="29" spans="4:12">
      <c r="F29">
        <f>(B9-H9)*K8*I8</f>
        <v>-53666.666666666664</v>
      </c>
    </row>
    <row r="30" spans="4:12">
      <c r="D30" s="171" t="s">
        <v>161</v>
      </c>
      <c r="E30" s="171"/>
      <c r="F30" s="171"/>
      <c r="G30" s="171"/>
    </row>
    <row r="34" spans="1:13">
      <c r="A34" s="2"/>
      <c r="B34" s="172" t="s">
        <v>146</v>
      </c>
      <c r="C34" s="173"/>
      <c r="D34" s="173"/>
      <c r="E34" s="174"/>
      <c r="H34" s="172" t="s">
        <v>151</v>
      </c>
      <c r="I34" s="173"/>
      <c r="J34" s="173"/>
      <c r="K34" s="174"/>
      <c r="M34" t="s">
        <v>71</v>
      </c>
    </row>
    <row r="35" spans="1:13">
      <c r="A35" s="2"/>
      <c r="B35" s="36" t="s">
        <v>146</v>
      </c>
      <c r="C35" s="36" t="s">
        <v>343</v>
      </c>
      <c r="D35" s="36" t="s">
        <v>344</v>
      </c>
      <c r="E35" s="36" t="s">
        <v>61</v>
      </c>
      <c r="F35" s="165" t="s">
        <v>345</v>
      </c>
      <c r="H35" s="36" t="s">
        <v>146</v>
      </c>
      <c r="I35" s="36" t="s">
        <v>343</v>
      </c>
      <c r="J35" s="36" t="s">
        <v>344</v>
      </c>
      <c r="K35" s="36" t="s">
        <v>61</v>
      </c>
      <c r="L35" s="165" t="s">
        <v>345</v>
      </c>
    </row>
    <row r="36" spans="1:13">
      <c r="A36" s="2" t="s">
        <v>147</v>
      </c>
      <c r="B36" s="144">
        <v>470000</v>
      </c>
      <c r="C36" s="144">
        <v>252000</v>
      </c>
      <c r="D36" s="144">
        <v>20000</v>
      </c>
      <c r="E36" s="144"/>
      <c r="F36" s="145">
        <f>B36-C36-D36</f>
        <v>198000</v>
      </c>
      <c r="H36" s="144">
        <v>382000</v>
      </c>
      <c r="I36" s="144"/>
      <c r="J36" s="144"/>
      <c r="K36" s="144"/>
      <c r="L36" s="145"/>
      <c r="M36" s="145">
        <f>B36-H36</f>
        <v>88000</v>
      </c>
    </row>
    <row r="37" spans="1:13">
      <c r="A37" s="2" t="s">
        <v>148</v>
      </c>
      <c r="B37" s="144">
        <v>1357500</v>
      </c>
      <c r="C37" s="144">
        <v>615500</v>
      </c>
      <c r="D37" s="144">
        <v>420000</v>
      </c>
      <c r="E37" s="144"/>
      <c r="F37" s="145">
        <f>B37-C37-D37</f>
        <v>322000</v>
      </c>
      <c r="H37" s="144">
        <v>1440000</v>
      </c>
      <c r="I37" s="144"/>
      <c r="J37" s="144"/>
      <c r="K37" s="144"/>
      <c r="L37" s="145"/>
      <c r="M37" s="145">
        <f>B37-H37</f>
        <v>-82500</v>
      </c>
    </row>
    <row r="38" spans="1:13">
      <c r="A38" s="2" t="s">
        <v>149</v>
      </c>
      <c r="B38" s="144">
        <v>2660000</v>
      </c>
      <c r="C38" s="144">
        <v>756000</v>
      </c>
      <c r="D38" s="144">
        <v>1481200</v>
      </c>
      <c r="E38" s="144"/>
      <c r="F38" s="145">
        <f>B38-C38-D38</f>
        <v>422800</v>
      </c>
      <c r="H38" s="144">
        <v>2898000</v>
      </c>
      <c r="I38" s="144"/>
      <c r="J38" s="144"/>
      <c r="K38" s="144"/>
      <c r="L38" s="145"/>
      <c r="M38" s="145">
        <f>B38-H38</f>
        <v>-238000</v>
      </c>
    </row>
    <row r="39" spans="1:13">
      <c r="A39" s="2"/>
      <c r="B39" s="128">
        <f>B36+B37+B38</f>
        <v>4487500</v>
      </c>
      <c r="C39" s="128">
        <f>C36+C37+C38</f>
        <v>1623500</v>
      </c>
      <c r="D39" s="128">
        <f>D36+D37+D38</f>
        <v>1921200</v>
      </c>
      <c r="E39" s="128">
        <v>1061000</v>
      </c>
      <c r="F39" s="145">
        <f>B39-C39-D39-E39</f>
        <v>-118200</v>
      </c>
      <c r="H39" s="145">
        <f>H36+H37+H38</f>
        <v>4720000</v>
      </c>
      <c r="I39" s="166">
        <v>2455100</v>
      </c>
      <c r="J39" s="167">
        <v>2048950</v>
      </c>
      <c r="K39">
        <v>1057000</v>
      </c>
      <c r="L39" s="145">
        <f>H39-I39-J39-K39</f>
        <v>-841050</v>
      </c>
      <c r="M39" s="145">
        <f>B39-H39</f>
        <v>-232500</v>
      </c>
    </row>
    <row r="40" spans="1:13">
      <c r="J40">
        <v>-792500</v>
      </c>
    </row>
    <row r="41" spans="1:13">
      <c r="M41" s="145">
        <f>M36+M37+M38</f>
        <v>-232500</v>
      </c>
    </row>
  </sheetData>
  <mergeCells count="10">
    <mergeCell ref="B34:E34"/>
    <mergeCell ref="H34:K34"/>
    <mergeCell ref="A2:E2"/>
    <mergeCell ref="D30:G30"/>
    <mergeCell ref="B4:E4"/>
    <mergeCell ref="G4:K4"/>
    <mergeCell ref="I23:L23"/>
    <mergeCell ref="D23:F23"/>
    <mergeCell ref="D24:E24"/>
    <mergeCell ref="I24:L2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A5" workbookViewId="0">
      <selection activeCell="J89" sqref="J89"/>
    </sheetView>
  </sheetViews>
  <sheetFormatPr baseColWidth="10" defaultRowHeight="14" x14ac:dyDescent="0"/>
  <cols>
    <col min="8" max="8" width="12.6640625" customWidth="1"/>
    <col min="9" max="9" width="14.83203125" customWidth="1"/>
    <col min="10" max="10" width="16.5" customWidth="1"/>
    <col min="13" max="15" width="10.83203125" style="34"/>
  </cols>
  <sheetData>
    <row r="1" spans="1: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5" ht="23">
      <c r="A6" s="186" t="s">
        <v>272</v>
      </c>
      <c r="B6" s="186"/>
      <c r="C6" s="186"/>
      <c r="D6" s="186"/>
      <c r="E6" s="186"/>
      <c r="F6" s="186"/>
      <c r="G6" s="186"/>
      <c r="H6" s="186"/>
      <c r="I6" s="34"/>
      <c r="J6" s="34"/>
      <c r="K6" s="34"/>
      <c r="L6" s="34"/>
    </row>
    <row r="7" spans="1:15" ht="23">
      <c r="A7" s="58" t="s">
        <v>13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>
      <c r="A8" s="34"/>
      <c r="B8" s="34"/>
      <c r="C8" s="34"/>
      <c r="D8" s="34"/>
      <c r="E8" s="34"/>
      <c r="F8" s="34"/>
      <c r="G8" s="34"/>
      <c r="H8" s="34"/>
      <c r="I8" s="34"/>
      <c r="J8" s="34"/>
      <c r="M8"/>
    </row>
    <row r="9" spans="1:15">
      <c r="A9" s="2"/>
      <c r="B9" s="187" t="s">
        <v>167</v>
      </c>
      <c r="C9" s="187"/>
      <c r="D9" s="187"/>
      <c r="E9" s="187"/>
      <c r="F9" s="187"/>
      <c r="G9" s="187"/>
      <c r="K9" t="s">
        <v>337</v>
      </c>
      <c r="L9" t="s">
        <v>209</v>
      </c>
      <c r="M9" t="s">
        <v>195</v>
      </c>
      <c r="N9" t="s">
        <v>342</v>
      </c>
      <c r="O9"/>
    </row>
    <row r="10" spans="1:15" ht="15" thickBot="1">
      <c r="A10" s="2"/>
      <c r="B10" s="52" t="s">
        <v>3</v>
      </c>
      <c r="C10" s="52" t="s">
        <v>4</v>
      </c>
      <c r="D10" s="52" t="s">
        <v>15</v>
      </c>
      <c r="E10" s="52" t="s">
        <v>6</v>
      </c>
      <c r="F10" s="52" t="s">
        <v>7</v>
      </c>
      <c r="G10" s="52" t="s">
        <v>16</v>
      </c>
      <c r="K10">
        <f>(E11-E19)*B11</f>
        <v>67500</v>
      </c>
      <c r="L10">
        <f>(C11-C19)*B11</f>
        <v>0</v>
      </c>
      <c r="M10">
        <f>(B11-B19)*C19</f>
        <v>-310500</v>
      </c>
      <c r="N10">
        <f>(D11-D19)*B11</f>
        <v>-67500</v>
      </c>
      <c r="O10"/>
    </row>
    <row r="11" spans="1:15">
      <c r="A11" s="19" t="s">
        <v>15</v>
      </c>
      <c r="B11" s="24">
        <v>6750</v>
      </c>
      <c r="C11" s="24">
        <v>230</v>
      </c>
      <c r="D11" s="24">
        <v>90</v>
      </c>
      <c r="E11" s="24">
        <f>C11-D11</f>
        <v>140</v>
      </c>
      <c r="F11" s="24">
        <f>B11/B14</f>
        <v>0.45</v>
      </c>
      <c r="G11" s="24">
        <f>E11*B11</f>
        <v>945000</v>
      </c>
      <c r="K11">
        <f>(E12-E20)*B12</f>
        <v>0</v>
      </c>
      <c r="L11">
        <f>(C12-C20)*B12</f>
        <v>-45000</v>
      </c>
      <c r="M11">
        <f>(B12-B20)*C20</f>
        <v>551250</v>
      </c>
      <c r="N11">
        <f>(D12-D20)*B12</f>
        <v>-45000</v>
      </c>
      <c r="O11"/>
    </row>
    <row r="12" spans="1:15">
      <c r="A12" s="19" t="s">
        <v>17</v>
      </c>
      <c r="B12" s="2">
        <v>4500</v>
      </c>
      <c r="C12" s="2">
        <v>480</v>
      </c>
      <c r="D12" s="2">
        <v>290</v>
      </c>
      <c r="E12" s="2">
        <f>C12-D12</f>
        <v>190</v>
      </c>
      <c r="F12" s="2">
        <f>B12/B14</f>
        <v>0.3</v>
      </c>
      <c r="G12" s="2">
        <f>E12*B12</f>
        <v>855000</v>
      </c>
      <c r="K12">
        <f>(E13-E21)*B13</f>
        <v>225000</v>
      </c>
      <c r="L12">
        <f>(C13-C21)*B13</f>
        <v>-150000</v>
      </c>
      <c r="M12">
        <f>(B13-B21)*C21</f>
        <v>1466250</v>
      </c>
      <c r="N12">
        <f>(D13-D21)*B13</f>
        <v>-375000</v>
      </c>
      <c r="O12"/>
    </row>
    <row r="13" spans="1:15">
      <c r="A13" s="19" t="s">
        <v>15</v>
      </c>
      <c r="B13" s="2">
        <v>3750</v>
      </c>
      <c r="C13" s="2">
        <v>810</v>
      </c>
      <c r="D13" s="2">
        <v>600</v>
      </c>
      <c r="E13" s="2">
        <f>C13-D13</f>
        <v>210</v>
      </c>
      <c r="F13" s="2">
        <f>B13/B14</f>
        <v>0.25</v>
      </c>
      <c r="G13" s="2">
        <f>E13*B13</f>
        <v>787500</v>
      </c>
      <c r="M13"/>
      <c r="N13"/>
      <c r="O13"/>
    </row>
    <row r="14" spans="1:15">
      <c r="A14" s="2"/>
      <c r="B14" s="2">
        <f>SUM(B11:B13)</f>
        <v>15000</v>
      </c>
      <c r="C14" s="2"/>
      <c r="D14" s="2"/>
      <c r="E14" s="2"/>
      <c r="F14" s="2"/>
      <c r="G14" s="2">
        <f>SUM(G11:G13)</f>
        <v>2587500</v>
      </c>
      <c r="M14"/>
      <c r="N14"/>
      <c r="O14"/>
    </row>
    <row r="15" spans="1:15">
      <c r="A15" s="34"/>
      <c r="B15" s="34"/>
      <c r="C15" s="34"/>
      <c r="D15" s="34"/>
      <c r="E15" s="34"/>
      <c r="F15" s="34"/>
      <c r="G15" s="34"/>
      <c r="M15"/>
      <c r="N15"/>
      <c r="O15"/>
    </row>
    <row r="16" spans="1:15">
      <c r="A16" s="34"/>
      <c r="B16" s="34"/>
      <c r="C16" s="34"/>
      <c r="D16" s="34"/>
      <c r="E16" s="34"/>
      <c r="F16" s="34"/>
      <c r="G16" s="34"/>
      <c r="H16" s="34"/>
      <c r="M16"/>
      <c r="N16"/>
      <c r="O16"/>
    </row>
    <row r="17" spans="1:15">
      <c r="A17" s="2"/>
      <c r="B17" s="192" t="s">
        <v>168</v>
      </c>
      <c r="C17" s="193"/>
      <c r="D17" s="193"/>
      <c r="E17" s="193"/>
      <c r="F17" s="193"/>
      <c r="G17" s="194"/>
      <c r="I17" s="42" t="s">
        <v>18</v>
      </c>
      <c r="M17"/>
      <c r="N17"/>
      <c r="O17"/>
    </row>
    <row r="18" spans="1:15" ht="15" thickBot="1">
      <c r="A18" s="2"/>
      <c r="B18" s="53" t="s">
        <v>3</v>
      </c>
      <c r="C18" s="53" t="s">
        <v>4</v>
      </c>
      <c r="D18" s="53" t="s">
        <v>15</v>
      </c>
      <c r="E18" s="53" t="s">
        <v>6</v>
      </c>
      <c r="F18" s="53" t="s">
        <v>7</v>
      </c>
      <c r="G18" s="53" t="s">
        <v>16</v>
      </c>
      <c r="H18" s="34"/>
      <c r="I18" s="42"/>
      <c r="M18"/>
      <c r="N18"/>
      <c r="O18"/>
    </row>
    <row r="19" spans="1:15">
      <c r="A19" s="19" t="s">
        <v>15</v>
      </c>
      <c r="B19" s="24">
        <v>8100</v>
      </c>
      <c r="C19" s="24">
        <v>230</v>
      </c>
      <c r="D19" s="24">
        <v>100</v>
      </c>
      <c r="E19" s="24">
        <f>C19-D19</f>
        <v>130</v>
      </c>
      <c r="F19" s="24">
        <f>B19/B22</f>
        <v>0.6</v>
      </c>
      <c r="G19" s="24">
        <f>E19*B19</f>
        <v>1053000</v>
      </c>
      <c r="H19" s="34"/>
      <c r="I19" s="42">
        <f>G11-G19</f>
        <v>-108000</v>
      </c>
      <c r="M19"/>
      <c r="N19"/>
      <c r="O19"/>
    </row>
    <row r="20" spans="1:15">
      <c r="A20" s="19" t="s">
        <v>17</v>
      </c>
      <c r="B20" s="2">
        <v>3375</v>
      </c>
      <c r="C20" s="2">
        <v>490</v>
      </c>
      <c r="D20" s="2">
        <v>300</v>
      </c>
      <c r="E20" s="2">
        <f>C20-D20</f>
        <v>190</v>
      </c>
      <c r="F20" s="2">
        <f>B20/B22</f>
        <v>0.25</v>
      </c>
      <c r="G20" s="2">
        <f>E20*B20</f>
        <v>641250</v>
      </c>
      <c r="H20" s="34"/>
      <c r="I20" s="42">
        <f>G12-G20</f>
        <v>213750</v>
      </c>
      <c r="M20"/>
      <c r="N20"/>
      <c r="O20"/>
    </row>
    <row r="21" spans="1:15">
      <c r="A21" s="19" t="s">
        <v>15</v>
      </c>
      <c r="B21" s="2">
        <v>2025</v>
      </c>
      <c r="C21" s="2">
        <v>850</v>
      </c>
      <c r="D21" s="2">
        <v>700</v>
      </c>
      <c r="E21" s="2">
        <f>C21-D21</f>
        <v>150</v>
      </c>
      <c r="F21" s="2">
        <f>B21/B22</f>
        <v>0.15</v>
      </c>
      <c r="G21" s="2">
        <f>E21*B21</f>
        <v>303750</v>
      </c>
      <c r="H21" s="34"/>
      <c r="I21" s="42">
        <f>G13-G21</f>
        <v>483750</v>
      </c>
      <c r="M21"/>
      <c r="N21"/>
      <c r="O21"/>
    </row>
    <row r="22" spans="1:15">
      <c r="A22" s="2"/>
      <c r="B22" s="2">
        <f>SUM(B19:B21)</f>
        <v>13500</v>
      </c>
      <c r="C22" s="2"/>
      <c r="D22" s="2"/>
      <c r="E22" s="2"/>
      <c r="F22" s="2"/>
      <c r="G22" s="2">
        <f>SUM(G19:G21)</f>
        <v>1998000</v>
      </c>
      <c r="H22" s="34"/>
      <c r="I22" s="42">
        <f>G14-G22</f>
        <v>589500</v>
      </c>
      <c r="M22"/>
      <c r="N22"/>
      <c r="O22"/>
    </row>
    <row r="23" spans="1:15">
      <c r="A23" s="34"/>
      <c r="B23" s="34"/>
      <c r="C23" s="34"/>
      <c r="D23" s="34"/>
      <c r="E23" s="34"/>
      <c r="F23" s="34"/>
      <c r="G23" s="34"/>
      <c r="H23" s="34"/>
      <c r="I23" s="34"/>
      <c r="M23"/>
      <c r="N23"/>
      <c r="O23"/>
    </row>
    <row r="24" spans="1:15">
      <c r="A24" s="2"/>
      <c r="B24" s="182" t="s">
        <v>169</v>
      </c>
      <c r="C24" s="183"/>
      <c r="D24" s="183"/>
      <c r="E24" s="183"/>
      <c r="F24" s="183"/>
      <c r="G24" s="184"/>
      <c r="H24" s="34"/>
      <c r="I24" s="42" t="s">
        <v>9</v>
      </c>
      <c r="M24"/>
      <c r="N24"/>
      <c r="O24"/>
    </row>
    <row r="25" spans="1:15" ht="15" thickBot="1">
      <c r="A25" s="2"/>
      <c r="B25" s="54" t="s">
        <v>3</v>
      </c>
      <c r="C25" s="54" t="s">
        <v>4</v>
      </c>
      <c r="D25" s="54" t="s">
        <v>15</v>
      </c>
      <c r="E25" s="54" t="s">
        <v>6</v>
      </c>
      <c r="F25" s="54" t="s">
        <v>7</v>
      </c>
      <c r="G25" s="54" t="s">
        <v>16</v>
      </c>
      <c r="H25" s="34"/>
      <c r="I25" s="42"/>
      <c r="M25"/>
      <c r="N25"/>
      <c r="O25"/>
    </row>
    <row r="26" spans="1:15">
      <c r="A26" s="19" t="s">
        <v>15</v>
      </c>
      <c r="B26" s="24">
        <v>6750</v>
      </c>
      <c r="C26" s="24">
        <v>230</v>
      </c>
      <c r="D26" s="24">
        <v>100</v>
      </c>
      <c r="E26" s="24">
        <f>C26-D26</f>
        <v>130</v>
      </c>
      <c r="F26" s="24">
        <f>B26/B29</f>
        <v>0.45</v>
      </c>
      <c r="G26" s="24">
        <f>E26*B26</f>
        <v>877500</v>
      </c>
      <c r="H26" s="34"/>
      <c r="I26" s="42">
        <f>G26-G19</f>
        <v>-175500</v>
      </c>
      <c r="M26"/>
      <c r="N26"/>
      <c r="O26"/>
    </row>
    <row r="27" spans="1:15">
      <c r="A27" s="19" t="s">
        <v>17</v>
      </c>
      <c r="B27" s="2">
        <v>4500</v>
      </c>
      <c r="C27" s="2">
        <v>480</v>
      </c>
      <c r="D27" s="2">
        <v>300</v>
      </c>
      <c r="E27" s="2">
        <f>C27-D27</f>
        <v>180</v>
      </c>
      <c r="F27" s="2">
        <f>B27/B29</f>
        <v>0.3</v>
      </c>
      <c r="G27" s="2">
        <f>E27*B27</f>
        <v>810000</v>
      </c>
      <c r="H27" s="34"/>
      <c r="I27" s="42">
        <f>G27-G20</f>
        <v>168750</v>
      </c>
      <c r="M27"/>
      <c r="N27"/>
      <c r="O27"/>
    </row>
    <row r="28" spans="1:15">
      <c r="A28" s="19" t="s">
        <v>15</v>
      </c>
      <c r="B28" s="2">
        <v>3750</v>
      </c>
      <c r="C28" s="2">
        <v>810</v>
      </c>
      <c r="D28" s="2">
        <v>700</v>
      </c>
      <c r="E28" s="2">
        <f>C28-D28</f>
        <v>110</v>
      </c>
      <c r="F28" s="2">
        <f>B28/B29</f>
        <v>0.25</v>
      </c>
      <c r="G28" s="2">
        <f>E28*B28</f>
        <v>412500</v>
      </c>
      <c r="H28" s="34"/>
      <c r="I28" s="42">
        <f>G28-G21</f>
        <v>108750</v>
      </c>
      <c r="M28"/>
      <c r="N28"/>
      <c r="O28"/>
    </row>
    <row r="29" spans="1:15">
      <c r="A29" s="2"/>
      <c r="B29" s="2">
        <f>SUM(B26:B28)</f>
        <v>15000</v>
      </c>
      <c r="C29" s="2"/>
      <c r="D29" s="2"/>
      <c r="E29" s="2"/>
      <c r="F29" s="2"/>
      <c r="G29" s="2">
        <f>SUM(G26:G28)</f>
        <v>2100000</v>
      </c>
      <c r="H29" s="34"/>
      <c r="I29" s="44">
        <f>G29-G22</f>
        <v>102000</v>
      </c>
      <c r="M29"/>
      <c r="N29"/>
      <c r="O29"/>
    </row>
    <row r="30" spans="1:15">
      <c r="A30" s="34"/>
      <c r="B30" s="34"/>
      <c r="C30" s="34"/>
      <c r="D30" s="34"/>
      <c r="E30" s="34"/>
      <c r="F30" s="34"/>
      <c r="G30" s="34"/>
      <c r="H30" s="34"/>
      <c r="I30" s="34"/>
      <c r="M30"/>
      <c r="N30"/>
      <c r="O30"/>
    </row>
    <row r="31" spans="1:15">
      <c r="A31" s="34"/>
      <c r="B31" s="34"/>
      <c r="C31" s="34"/>
      <c r="D31" s="34"/>
      <c r="E31" s="34"/>
      <c r="F31" s="34"/>
      <c r="G31" s="34"/>
      <c r="H31" s="34"/>
      <c r="I31" s="34"/>
      <c r="M31"/>
      <c r="N31"/>
      <c r="O31"/>
    </row>
    <row r="32" spans="1:15" ht="16">
      <c r="A32" s="195" t="s">
        <v>163</v>
      </c>
      <c r="B32" s="195"/>
      <c r="C32" s="195"/>
      <c r="D32" s="195"/>
      <c r="E32" s="34"/>
      <c r="F32" s="34"/>
      <c r="G32" s="34"/>
      <c r="H32" s="34"/>
      <c r="I32" s="34"/>
      <c r="J32" s="34" t="s">
        <v>157</v>
      </c>
      <c r="K32" s="34">
        <f>(E19*B19+E20*B20+E21*B21)/B22</f>
        <v>148</v>
      </c>
      <c r="L32" s="34"/>
    </row>
    <row r="33" spans="1:1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>
      <c r="B34" s="19" t="s">
        <v>10</v>
      </c>
      <c r="C34" s="2"/>
      <c r="D34" s="56">
        <f>C35+C36+C37</f>
        <v>75000.000000000029</v>
      </c>
      <c r="E34" s="34"/>
      <c r="F34" s="19" t="s">
        <v>11</v>
      </c>
      <c r="G34" s="2"/>
      <c r="H34" s="7">
        <f>G35+G36+G37</f>
        <v>-195000</v>
      </c>
      <c r="I34" s="34"/>
      <c r="J34" s="19" t="s">
        <v>12</v>
      </c>
      <c r="K34" s="49"/>
      <c r="L34" s="41">
        <f>K35+K36+K37</f>
        <v>222000</v>
      </c>
    </row>
    <row r="35" spans="1:12">
      <c r="A35" s="34"/>
      <c r="B35" s="19" t="s">
        <v>15</v>
      </c>
      <c r="C35" s="2">
        <f>(F26-F19)*B29*E19</f>
        <v>-292499.99999999994</v>
      </c>
      <c r="D35" s="2"/>
      <c r="E35" s="34"/>
      <c r="F35" s="19" t="s">
        <v>15</v>
      </c>
      <c r="G35" s="2">
        <f>(E26-E19)*B26</f>
        <v>0</v>
      </c>
      <c r="H35" s="2"/>
      <c r="I35" s="34"/>
      <c r="J35" s="19" t="s">
        <v>15</v>
      </c>
      <c r="K35" s="49">
        <f>(B29-B22)*F19*E19</f>
        <v>117000</v>
      </c>
      <c r="L35" s="49"/>
    </row>
    <row r="36" spans="1:12">
      <c r="A36" s="34"/>
      <c r="B36" s="19" t="s">
        <v>17</v>
      </c>
      <c r="C36" s="2">
        <f>(F27-F20)*B29*E20</f>
        <v>142499.99999999997</v>
      </c>
      <c r="D36" s="2"/>
      <c r="E36" s="34"/>
      <c r="F36" s="19" t="s">
        <v>17</v>
      </c>
      <c r="G36" s="2">
        <f>(E27-E20)*B27</f>
        <v>-45000</v>
      </c>
      <c r="H36" s="2"/>
      <c r="I36" s="34"/>
      <c r="J36" s="19" t="s">
        <v>17</v>
      </c>
      <c r="K36" s="49">
        <f>(B29-B22)*F20*E20</f>
        <v>71250</v>
      </c>
      <c r="L36" s="49"/>
    </row>
    <row r="37" spans="1:12">
      <c r="A37" s="34"/>
      <c r="B37" s="19" t="s">
        <v>15</v>
      </c>
      <c r="C37" s="2">
        <f>(F28-F21)*B29*E21</f>
        <v>225000</v>
      </c>
      <c r="D37" s="2"/>
      <c r="E37" s="34"/>
      <c r="F37" s="19" t="s">
        <v>15</v>
      </c>
      <c r="G37" s="2">
        <f>(E28-E21)*B28</f>
        <v>-150000</v>
      </c>
      <c r="H37" s="2"/>
      <c r="I37" s="34"/>
      <c r="J37" s="19" t="s">
        <v>15</v>
      </c>
      <c r="K37" s="49">
        <f>(B29-B22)*F21*E21</f>
        <v>33750</v>
      </c>
      <c r="L37" s="49"/>
    </row>
    <row r="38" spans="1:1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>
      <c r="A39" s="57" t="s">
        <v>69</v>
      </c>
      <c r="B39" s="47">
        <f>D34+H34+L34</f>
        <v>102000.00000000003</v>
      </c>
      <c r="C39" s="34"/>
      <c r="D39" s="34"/>
      <c r="E39" s="34"/>
      <c r="F39" s="34"/>
      <c r="G39" s="34"/>
      <c r="H39" s="34"/>
      <c r="I39" s="34"/>
      <c r="J39" s="50" t="s">
        <v>170</v>
      </c>
      <c r="K39" s="34"/>
      <c r="L39" s="48">
        <f>(B29-B22)*K32</f>
        <v>222000</v>
      </c>
    </row>
    <row r="40" spans="1:1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>
      <c r="A41" s="34"/>
      <c r="B41" s="51" t="s">
        <v>170</v>
      </c>
      <c r="C41" s="34"/>
      <c r="D41" s="34"/>
      <c r="E41" s="34"/>
      <c r="F41" s="34"/>
      <c r="G41" s="34"/>
      <c r="H41" s="34"/>
      <c r="I41" s="34"/>
      <c r="J41" s="50" t="s">
        <v>170</v>
      </c>
      <c r="K41" s="34"/>
      <c r="L41" s="34"/>
    </row>
    <row r="42" spans="1:12">
      <c r="A42" s="49"/>
      <c r="B42" s="49" t="s">
        <v>173</v>
      </c>
      <c r="C42" s="34"/>
      <c r="D42" s="34"/>
      <c r="E42" s="34"/>
      <c r="F42" s="34"/>
      <c r="G42" s="34"/>
      <c r="H42" s="34"/>
      <c r="I42" s="34"/>
      <c r="J42" s="50"/>
      <c r="K42" s="34"/>
      <c r="L42" s="34"/>
    </row>
    <row r="43" spans="1:12">
      <c r="A43" s="55" t="s">
        <v>15</v>
      </c>
      <c r="B43" s="49">
        <v>6750</v>
      </c>
      <c r="C43" s="34"/>
      <c r="D43" s="34"/>
      <c r="E43" s="34"/>
      <c r="F43" s="34"/>
      <c r="G43" s="34"/>
      <c r="H43" s="34"/>
      <c r="I43" s="49" t="s">
        <v>175</v>
      </c>
      <c r="J43" s="49" t="s">
        <v>171</v>
      </c>
      <c r="K43" s="34"/>
      <c r="L43" s="49" t="s">
        <v>172</v>
      </c>
    </row>
    <row r="44" spans="1:12">
      <c r="A44" s="55" t="s">
        <v>17</v>
      </c>
      <c r="B44" s="49">
        <v>4500</v>
      </c>
      <c r="C44" s="34"/>
      <c r="D44" s="34"/>
      <c r="E44" s="34"/>
      <c r="F44" s="34"/>
      <c r="G44" s="34"/>
      <c r="H44" s="34"/>
      <c r="I44" s="55" t="s">
        <v>15</v>
      </c>
      <c r="J44" s="49">
        <f>B29*F19</f>
        <v>9000</v>
      </c>
      <c r="K44" s="34"/>
      <c r="L44" s="49">
        <v>8100</v>
      </c>
    </row>
    <row r="45" spans="1:12">
      <c r="A45" s="55" t="s">
        <v>15</v>
      </c>
      <c r="B45" s="49">
        <v>3750</v>
      </c>
      <c r="C45" s="34"/>
      <c r="D45" s="34"/>
      <c r="E45" s="34"/>
      <c r="F45" s="34"/>
      <c r="G45" s="34"/>
      <c r="H45" s="34"/>
      <c r="I45" s="55" t="s">
        <v>17</v>
      </c>
      <c r="J45" s="49">
        <f>B29*F20</f>
        <v>3750</v>
      </c>
      <c r="K45" s="34"/>
      <c r="L45" s="49">
        <v>3375</v>
      </c>
    </row>
    <row r="46" spans="1:12">
      <c r="A46" s="34"/>
      <c r="B46" s="34"/>
      <c r="C46" s="34"/>
      <c r="D46" s="34"/>
      <c r="E46" s="34"/>
      <c r="F46" s="34"/>
      <c r="G46" s="34"/>
      <c r="H46" s="34"/>
      <c r="I46" s="55" t="s">
        <v>15</v>
      </c>
      <c r="J46" s="49">
        <f>B29*F21</f>
        <v>2250</v>
      </c>
      <c r="K46" s="34"/>
      <c r="L46" s="49">
        <v>2025</v>
      </c>
    </row>
    <row r="47" spans="1:12">
      <c r="A47" s="34"/>
      <c r="B47" s="55" t="s">
        <v>15</v>
      </c>
      <c r="C47" s="49">
        <f>(B43-J44)*E19</f>
        <v>-292500</v>
      </c>
      <c r="D47" s="34"/>
      <c r="E47" s="34"/>
      <c r="F47" s="34"/>
      <c r="G47" s="34"/>
      <c r="H47" s="34"/>
      <c r="I47" s="34"/>
      <c r="J47" s="34"/>
      <c r="K47" s="34"/>
      <c r="L47" s="34"/>
    </row>
    <row r="48" spans="1:12">
      <c r="A48" s="34"/>
      <c r="B48" s="55" t="s">
        <v>17</v>
      </c>
      <c r="C48" s="49">
        <f>(B44-J45)*E20</f>
        <v>142500</v>
      </c>
      <c r="D48" s="34"/>
      <c r="E48" s="34"/>
      <c r="F48" s="34"/>
      <c r="G48" s="34"/>
      <c r="H48" s="34"/>
      <c r="I48" s="34"/>
      <c r="J48" s="55" t="s">
        <v>15</v>
      </c>
      <c r="K48" s="49">
        <f>(J44-L44)*E19</f>
        <v>117000</v>
      </c>
      <c r="L48" s="34"/>
    </row>
    <row r="49" spans="1:15">
      <c r="A49" s="34"/>
      <c r="B49" s="55" t="s">
        <v>15</v>
      </c>
      <c r="C49" s="49">
        <f>(B45-J46)*E21</f>
        <v>225000</v>
      </c>
      <c r="D49" s="34"/>
      <c r="E49" s="34"/>
      <c r="F49" s="34"/>
      <c r="G49" s="34"/>
      <c r="H49" s="34"/>
      <c r="I49" s="34"/>
      <c r="J49" s="55" t="s">
        <v>17</v>
      </c>
      <c r="K49" s="49">
        <f>(J45-L45)*E20</f>
        <v>71250</v>
      </c>
      <c r="L49" s="34"/>
    </row>
    <row r="50" spans="1:15">
      <c r="A50" s="34"/>
      <c r="B50" s="49" t="s">
        <v>8</v>
      </c>
      <c r="C50" s="3">
        <f>SUM(C47:C49)</f>
        <v>75000</v>
      </c>
      <c r="D50" s="34"/>
      <c r="E50" s="34"/>
      <c r="F50" s="34"/>
      <c r="G50" s="34"/>
      <c r="H50" s="34"/>
      <c r="I50" s="34"/>
      <c r="J50" s="55" t="s">
        <v>15</v>
      </c>
      <c r="K50" s="49">
        <f>(J46-L46)*E21</f>
        <v>33750</v>
      </c>
      <c r="L50" s="34"/>
    </row>
    <row r="51" spans="1:15">
      <c r="A51" s="34"/>
      <c r="B51" s="34"/>
      <c r="C51" s="34"/>
      <c r="D51" s="34"/>
      <c r="E51" s="34"/>
      <c r="F51" s="34"/>
      <c r="G51" s="34"/>
      <c r="H51" s="34"/>
      <c r="I51" s="34"/>
      <c r="J51" s="49" t="s">
        <v>8</v>
      </c>
      <c r="K51" s="38">
        <f>SUM(K48:K50)</f>
        <v>222000</v>
      </c>
      <c r="L51" s="34"/>
    </row>
    <row r="52" spans="1:15" s="34" customFormat="1" ht="44.25" customHeight="1"/>
    <row r="53" spans="1:15" s="34" customFormat="1" ht="69" customHeight="1"/>
    <row r="54" spans="1:15" s="34" customFormat="1"/>
    <row r="55" spans="1:15" s="34" customFormat="1"/>
    <row r="56" spans="1:15" s="34" customFormat="1"/>
    <row r="57" spans="1:15" s="34" customFormat="1"/>
    <row r="58" spans="1:15" s="34" customFormat="1"/>
    <row r="59" spans="1:15">
      <c r="M59"/>
      <c r="N59"/>
      <c r="O59"/>
    </row>
    <row r="60" spans="1:15" ht="25">
      <c r="A60" s="18" t="s">
        <v>273</v>
      </c>
      <c r="M60"/>
      <c r="N60"/>
      <c r="O60"/>
    </row>
    <row r="61" spans="1:15">
      <c r="M61"/>
      <c r="N61"/>
      <c r="O61"/>
    </row>
    <row r="62" spans="1:15" ht="15">
      <c r="I62" s="135"/>
      <c r="J62" s="135"/>
      <c r="K62" s="135"/>
      <c r="L62" s="135"/>
      <c r="M62" s="135"/>
      <c r="N62"/>
      <c r="O62"/>
    </row>
    <row r="63" spans="1:15" ht="15">
      <c r="A63" s="2"/>
      <c r="B63" s="187" t="s">
        <v>167</v>
      </c>
      <c r="C63" s="187"/>
      <c r="D63" s="187"/>
      <c r="E63" s="187"/>
      <c r="F63" s="187"/>
      <c r="G63" s="187"/>
      <c r="I63" s="135"/>
      <c r="J63" s="135" t="s">
        <v>15</v>
      </c>
      <c r="K63" s="135" t="s">
        <v>17</v>
      </c>
      <c r="L63" s="135" t="s">
        <v>15</v>
      </c>
      <c r="M63" s="135" t="s">
        <v>8</v>
      </c>
      <c r="N63"/>
      <c r="O63"/>
    </row>
    <row r="64" spans="1:15" ht="16" thickBot="1">
      <c r="A64" s="2"/>
      <c r="B64" s="52" t="s">
        <v>3</v>
      </c>
      <c r="C64" s="52" t="s">
        <v>4</v>
      </c>
      <c r="D64" s="52" t="s">
        <v>15</v>
      </c>
      <c r="E64" s="52" t="s">
        <v>6</v>
      </c>
      <c r="F64" s="52" t="s">
        <v>7</v>
      </c>
      <c r="G64" s="52" t="s">
        <v>16</v>
      </c>
      <c r="I64" s="135" t="s">
        <v>67</v>
      </c>
      <c r="J64" s="135">
        <f>B65*C65</f>
        <v>1552500</v>
      </c>
      <c r="K64" s="135">
        <f>B66*C66</f>
        <v>2160000</v>
      </c>
      <c r="L64" s="135">
        <f>B67*C67</f>
        <v>3037500</v>
      </c>
      <c r="M64" s="135">
        <f>J64+K64+L64</f>
        <v>6750000</v>
      </c>
      <c r="N64"/>
      <c r="O64"/>
    </row>
    <row r="65" spans="1:15" ht="15">
      <c r="A65" s="19" t="s">
        <v>15</v>
      </c>
      <c r="B65" s="24">
        <v>6750</v>
      </c>
      <c r="C65" s="24">
        <v>230</v>
      </c>
      <c r="D65" s="24">
        <v>90</v>
      </c>
      <c r="E65" s="24">
        <f>C65-D65</f>
        <v>140</v>
      </c>
      <c r="F65" s="24">
        <f>B65/B68</f>
        <v>0.45</v>
      </c>
      <c r="G65" s="24">
        <f>E65*B65</f>
        <v>945000</v>
      </c>
      <c r="I65" s="135" t="s">
        <v>112</v>
      </c>
      <c r="J65" s="135">
        <f>D65*B65</f>
        <v>607500</v>
      </c>
      <c r="K65" s="135">
        <f>B66*D66</f>
        <v>1305000</v>
      </c>
      <c r="L65" s="135">
        <f>B67*D67</f>
        <v>2250000</v>
      </c>
      <c r="M65" s="135">
        <f>J65+K65+L65</f>
        <v>4162500</v>
      </c>
      <c r="N65"/>
      <c r="O65"/>
    </row>
    <row r="66" spans="1:15" ht="15">
      <c r="A66" s="19" t="s">
        <v>17</v>
      </c>
      <c r="B66" s="2">
        <v>4500</v>
      </c>
      <c r="C66" s="2">
        <v>480</v>
      </c>
      <c r="D66" s="2">
        <v>290</v>
      </c>
      <c r="E66" s="2">
        <f>C66-D66</f>
        <v>190</v>
      </c>
      <c r="F66" s="2">
        <f>B66/B68</f>
        <v>0.3</v>
      </c>
      <c r="G66" s="2">
        <f>E66*B66</f>
        <v>855000</v>
      </c>
      <c r="I66" s="135" t="s">
        <v>16</v>
      </c>
      <c r="J66" s="135">
        <f>J64-J65</f>
        <v>945000</v>
      </c>
      <c r="K66" s="135">
        <f>K64-K65</f>
        <v>855000</v>
      </c>
      <c r="L66" s="135">
        <f>L64-L65</f>
        <v>787500</v>
      </c>
      <c r="M66" s="135">
        <f>J66+K66+L66</f>
        <v>2587500</v>
      </c>
      <c r="N66"/>
      <c r="O66"/>
    </row>
    <row r="67" spans="1:15" ht="15">
      <c r="A67" s="19" t="s">
        <v>15</v>
      </c>
      <c r="B67" s="2">
        <v>3750</v>
      </c>
      <c r="C67" s="2">
        <v>810</v>
      </c>
      <c r="D67" s="2">
        <v>600</v>
      </c>
      <c r="E67" s="2">
        <f>C67-D67</f>
        <v>210</v>
      </c>
      <c r="F67" s="2">
        <f>B67/B68</f>
        <v>0.25</v>
      </c>
      <c r="G67" s="2">
        <f>E67*B67</f>
        <v>787500</v>
      </c>
      <c r="I67" s="135" t="s">
        <v>7</v>
      </c>
      <c r="J67" s="136">
        <f>J64/M64</f>
        <v>0.23</v>
      </c>
      <c r="K67" s="136">
        <f>K64/M64</f>
        <v>0.32</v>
      </c>
      <c r="L67" s="136">
        <f>L64/M64</f>
        <v>0.45</v>
      </c>
      <c r="M67" s="136">
        <f>J67+K67+L67</f>
        <v>1</v>
      </c>
      <c r="N67"/>
      <c r="O67"/>
    </row>
    <row r="68" spans="1:15" ht="15">
      <c r="A68" s="2"/>
      <c r="B68" s="2">
        <f>SUM(B65:B67)</f>
        <v>15000</v>
      </c>
      <c r="C68" s="2"/>
      <c r="D68" s="2"/>
      <c r="E68" s="2"/>
      <c r="F68" s="2"/>
      <c r="G68" s="2">
        <f>SUM(G65:G67)</f>
        <v>2587500</v>
      </c>
      <c r="I68" s="135" t="s">
        <v>274</v>
      </c>
      <c r="J68" s="136">
        <f>J66/J64</f>
        <v>0.60869565217391308</v>
      </c>
      <c r="K68" s="136">
        <f>K66/K64</f>
        <v>0.39583333333333331</v>
      </c>
      <c r="L68" s="136">
        <f>L66/L64</f>
        <v>0.25925925925925924</v>
      </c>
      <c r="M68" s="136">
        <f>M66/M64</f>
        <v>0.38333333333333336</v>
      </c>
      <c r="N68"/>
      <c r="O68"/>
    </row>
    <row r="69" spans="1:15" ht="15">
      <c r="A69" s="34"/>
      <c r="B69" s="34"/>
      <c r="C69" s="34"/>
      <c r="D69" s="34"/>
      <c r="E69" s="34"/>
      <c r="F69" s="34"/>
      <c r="G69" s="34"/>
      <c r="I69" s="135"/>
      <c r="J69" s="135"/>
      <c r="K69" s="135"/>
      <c r="L69" s="135"/>
      <c r="M69" s="135"/>
      <c r="N69"/>
      <c r="O69"/>
    </row>
    <row r="70" spans="1:15" ht="15">
      <c r="A70" s="34"/>
      <c r="B70" s="34"/>
      <c r="C70" s="34"/>
      <c r="D70" s="34"/>
      <c r="E70" s="34"/>
      <c r="F70" s="34"/>
      <c r="G70" s="34"/>
      <c r="I70" s="135"/>
      <c r="J70" s="135"/>
      <c r="K70" s="135"/>
      <c r="L70" s="135"/>
      <c r="M70" s="135"/>
      <c r="N70" t="s">
        <v>71</v>
      </c>
      <c r="O70"/>
    </row>
    <row r="71" spans="1:15" ht="15">
      <c r="A71" s="2"/>
      <c r="B71" s="192" t="s">
        <v>168</v>
      </c>
      <c r="C71" s="193"/>
      <c r="D71" s="193"/>
      <c r="E71" s="193"/>
      <c r="F71" s="193"/>
      <c r="G71" s="194"/>
      <c r="I71" s="135"/>
      <c r="J71" s="135" t="s">
        <v>15</v>
      </c>
      <c r="K71" s="135" t="s">
        <v>17</v>
      </c>
      <c r="L71" s="135" t="s">
        <v>15</v>
      </c>
      <c r="M71" s="135" t="s">
        <v>8</v>
      </c>
      <c r="N71"/>
      <c r="O71"/>
    </row>
    <row r="72" spans="1:15" ht="16" thickBot="1">
      <c r="A72" s="2"/>
      <c r="B72" s="53" t="s">
        <v>3</v>
      </c>
      <c r="C72" s="53" t="s">
        <v>4</v>
      </c>
      <c r="D72" s="53" t="s">
        <v>15</v>
      </c>
      <c r="E72" s="53" t="s">
        <v>6</v>
      </c>
      <c r="F72" s="53" t="s">
        <v>7</v>
      </c>
      <c r="G72" s="53" t="s">
        <v>16</v>
      </c>
      <c r="I72" s="135" t="s">
        <v>67</v>
      </c>
      <c r="J72" s="135">
        <f>B73*C73</f>
        <v>1863000</v>
      </c>
      <c r="K72" s="135">
        <f>B74*C74</f>
        <v>1653750</v>
      </c>
      <c r="L72" s="135">
        <f>B75*C75</f>
        <v>1721250</v>
      </c>
      <c r="M72" s="135">
        <f>J72+K72+L72</f>
        <v>5238000</v>
      </c>
      <c r="N72">
        <f>M64-M72</f>
        <v>1512000</v>
      </c>
      <c r="O72"/>
    </row>
    <row r="73" spans="1:15" ht="15">
      <c r="A73" s="19" t="s">
        <v>15</v>
      </c>
      <c r="B73" s="24">
        <v>8100</v>
      </c>
      <c r="C73" s="24">
        <v>230</v>
      </c>
      <c r="D73" s="24">
        <v>100</v>
      </c>
      <c r="E73" s="24">
        <f>C73-D73</f>
        <v>130</v>
      </c>
      <c r="F73" s="24">
        <f>B73/B76</f>
        <v>0.6</v>
      </c>
      <c r="G73" s="24">
        <f>E73*B73</f>
        <v>1053000</v>
      </c>
      <c r="I73" s="135" t="s">
        <v>112</v>
      </c>
      <c r="J73" s="135">
        <f>D73*B73</f>
        <v>810000</v>
      </c>
      <c r="K73" s="135">
        <f>B74*D74</f>
        <v>1012500</v>
      </c>
      <c r="L73" s="135">
        <f>B75*D75</f>
        <v>1417500</v>
      </c>
      <c r="M73" s="135">
        <f>J73+K73+L73</f>
        <v>3240000</v>
      </c>
      <c r="N73"/>
      <c r="O73"/>
    </row>
    <row r="74" spans="1:15" ht="15">
      <c r="A74" s="19" t="s">
        <v>17</v>
      </c>
      <c r="B74" s="2">
        <v>3375</v>
      </c>
      <c r="C74" s="2">
        <v>490</v>
      </c>
      <c r="D74" s="2">
        <v>300</v>
      </c>
      <c r="E74" s="2">
        <f>C74-D74</f>
        <v>190</v>
      </c>
      <c r="F74" s="2">
        <f>B74/B76</f>
        <v>0.25</v>
      </c>
      <c r="G74" s="2">
        <f>E74*B74</f>
        <v>641250</v>
      </c>
      <c r="I74" s="135" t="s">
        <v>16</v>
      </c>
      <c r="J74" s="135">
        <f>J72-J73</f>
        <v>1053000</v>
      </c>
      <c r="K74" s="135">
        <f>K72-K73</f>
        <v>641250</v>
      </c>
      <c r="L74" s="135">
        <f>L72-L73</f>
        <v>303750</v>
      </c>
      <c r="M74" s="135">
        <f>J74+K74+L74</f>
        <v>1998000</v>
      </c>
      <c r="N74" s="138">
        <f>M66-M74</f>
        <v>589500</v>
      </c>
      <c r="O74"/>
    </row>
    <row r="75" spans="1:15" ht="15">
      <c r="A75" s="19" t="s">
        <v>15</v>
      </c>
      <c r="B75" s="2">
        <v>2025</v>
      </c>
      <c r="C75" s="2">
        <v>850</v>
      </c>
      <c r="D75" s="2">
        <v>700</v>
      </c>
      <c r="E75" s="2">
        <f>C75-D75</f>
        <v>150</v>
      </c>
      <c r="F75" s="2">
        <f>B75/B76</f>
        <v>0.15</v>
      </c>
      <c r="G75" s="2">
        <f>E75*B75</f>
        <v>303750</v>
      </c>
      <c r="I75" s="135" t="s">
        <v>7</v>
      </c>
      <c r="J75" s="136">
        <f>J72/M72</f>
        <v>0.35567010309278352</v>
      </c>
      <c r="K75" s="136">
        <f>K72/M72</f>
        <v>0.31572164948453607</v>
      </c>
      <c r="L75" s="136">
        <f>L72/M72</f>
        <v>0.32860824742268041</v>
      </c>
      <c r="M75" s="136">
        <f>J75+K75+L75</f>
        <v>1</v>
      </c>
      <c r="N75"/>
      <c r="O75"/>
    </row>
    <row r="76" spans="1:15" ht="15">
      <c r="A76" s="2"/>
      <c r="B76" s="2">
        <f>SUM(B73:B75)</f>
        <v>13500</v>
      </c>
      <c r="C76" s="2"/>
      <c r="D76" s="2"/>
      <c r="E76" s="2"/>
      <c r="F76" s="2"/>
      <c r="G76" s="2">
        <f>SUM(G73:G75)</f>
        <v>1998000</v>
      </c>
      <c r="I76" s="135" t="s">
        <v>274</v>
      </c>
      <c r="J76" s="136">
        <f>J74/J72</f>
        <v>0.56521739130434778</v>
      </c>
      <c r="K76" s="136">
        <f>K74/K72</f>
        <v>0.38775510204081631</v>
      </c>
      <c r="L76" s="136">
        <f>L74/L72</f>
        <v>0.17647058823529413</v>
      </c>
      <c r="M76" s="136">
        <f>M74/M72</f>
        <v>0.38144329896907214</v>
      </c>
      <c r="N76"/>
      <c r="O76"/>
    </row>
    <row r="77" spans="1:15" ht="15">
      <c r="I77" s="135"/>
      <c r="J77" s="135"/>
      <c r="K77" s="135"/>
      <c r="L77" s="135"/>
      <c r="M77" s="135"/>
      <c r="N77"/>
      <c r="O77"/>
    </row>
    <row r="78" spans="1:15">
      <c r="M78"/>
      <c r="N78"/>
      <c r="O78"/>
    </row>
    <row r="79" spans="1:15">
      <c r="M79"/>
      <c r="N79"/>
      <c r="O79"/>
    </row>
    <row r="80" spans="1:15">
      <c r="I80" s="4" t="s">
        <v>275</v>
      </c>
      <c r="J80" t="s">
        <v>276</v>
      </c>
      <c r="M80"/>
      <c r="N80"/>
      <c r="O80"/>
    </row>
    <row r="81" spans="9:15">
      <c r="K81" t="s">
        <v>277</v>
      </c>
      <c r="L81" s="137">
        <f>J76*J67+K76*K67+L76*L67</f>
        <v>0.33349339735894357</v>
      </c>
      <c r="M81"/>
      <c r="N81"/>
      <c r="O81"/>
    </row>
    <row r="82" spans="9:15">
      <c r="J82">
        <f>(M68-L81)*M64</f>
        <v>336419.56782713108</v>
      </c>
      <c r="M82"/>
      <c r="N82"/>
      <c r="O82"/>
    </row>
    <row r="83" spans="9:15">
      <c r="M83"/>
      <c r="N83"/>
      <c r="O83"/>
    </row>
    <row r="85" spans="9:15">
      <c r="I85" s="4" t="s">
        <v>10</v>
      </c>
      <c r="J85" t="s">
        <v>278</v>
      </c>
    </row>
    <row r="87" spans="9:15">
      <c r="J87">
        <f>(L81-M76)*M64</f>
        <v>-323661.83586836787</v>
      </c>
    </row>
    <row r="89" spans="9:15">
      <c r="I89" s="4" t="s">
        <v>12</v>
      </c>
      <c r="J89">
        <f>(M64-M72)*M76</f>
        <v>576742.26804123702</v>
      </c>
    </row>
    <row r="92" spans="9:15">
      <c r="J92" t="s">
        <v>279</v>
      </c>
      <c r="K92" s="138">
        <f>J89+J87+J82</f>
        <v>589500.00000000023</v>
      </c>
    </row>
  </sheetData>
  <mergeCells count="7">
    <mergeCell ref="A6:H6"/>
    <mergeCell ref="B63:G63"/>
    <mergeCell ref="B71:G71"/>
    <mergeCell ref="B9:G9"/>
    <mergeCell ref="B17:G17"/>
    <mergeCell ref="B24:G24"/>
    <mergeCell ref="A32:D32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43"/>
  <sheetViews>
    <sheetView topLeftCell="A15" workbookViewId="0">
      <selection activeCell="F42" sqref="F42"/>
    </sheetView>
  </sheetViews>
  <sheetFormatPr baseColWidth="10" defaultRowHeight="14" x14ac:dyDescent="0"/>
  <cols>
    <col min="10" max="10" width="18.1640625" customWidth="1"/>
    <col min="12" max="12" width="17.5" customWidth="1"/>
    <col min="13" max="13" width="20.1640625" customWidth="1"/>
    <col min="14" max="14" width="15.5" bestFit="1" customWidth="1"/>
    <col min="16" max="16" width="17.5" customWidth="1"/>
  </cols>
  <sheetData>
    <row r="9" spans="1:10" ht="18">
      <c r="A9" s="2"/>
      <c r="B9" s="196" t="s">
        <v>86</v>
      </c>
      <c r="C9" s="197"/>
      <c r="D9" s="197"/>
      <c r="E9" s="197"/>
      <c r="F9" s="197"/>
      <c r="G9" s="198"/>
      <c r="I9" s="42" t="s">
        <v>41</v>
      </c>
    </row>
    <row r="10" spans="1:10">
      <c r="A10" s="2"/>
      <c r="B10" s="36" t="s">
        <v>19</v>
      </c>
      <c r="C10" s="36" t="s">
        <v>20</v>
      </c>
      <c r="D10" s="36" t="s">
        <v>21</v>
      </c>
      <c r="E10" s="36" t="s">
        <v>22</v>
      </c>
      <c r="F10" s="36" t="s">
        <v>23</v>
      </c>
      <c r="G10" s="36" t="s">
        <v>8</v>
      </c>
      <c r="I10" s="42"/>
    </row>
    <row r="11" spans="1:10">
      <c r="A11" s="19" t="s">
        <v>0</v>
      </c>
      <c r="B11" s="2">
        <v>900</v>
      </c>
      <c r="C11" s="2">
        <v>245</v>
      </c>
      <c r="D11" s="2">
        <v>210</v>
      </c>
      <c r="E11" s="2">
        <f>C11-D11</f>
        <v>35</v>
      </c>
      <c r="F11" s="2">
        <f>B11/B14</f>
        <v>0.46153846153846156</v>
      </c>
      <c r="G11" s="2">
        <f>B11*E11</f>
        <v>31500</v>
      </c>
      <c r="I11" s="42">
        <f>G29-G20</f>
        <v>-9500</v>
      </c>
    </row>
    <row r="12" spans="1:10">
      <c r="A12" s="19" t="s">
        <v>1</v>
      </c>
      <c r="B12" s="2">
        <v>570</v>
      </c>
      <c r="C12" s="2">
        <v>820</v>
      </c>
      <c r="D12" s="2">
        <v>740</v>
      </c>
      <c r="E12" s="2">
        <f>C12-D12</f>
        <v>80</v>
      </c>
      <c r="F12" s="2">
        <f>B12/B14</f>
        <v>0.29230769230769232</v>
      </c>
      <c r="G12" s="2">
        <f>B12*E12</f>
        <v>45600</v>
      </c>
      <c r="I12" s="42">
        <f>G30-G21</f>
        <v>-8000</v>
      </c>
    </row>
    <row r="13" spans="1:10">
      <c r="A13" s="19" t="s">
        <v>2</v>
      </c>
      <c r="B13" s="2">
        <v>480</v>
      </c>
      <c r="C13" s="2">
        <v>80</v>
      </c>
      <c r="D13" s="2">
        <v>60</v>
      </c>
      <c r="E13" s="2">
        <f>C13-D13</f>
        <v>20</v>
      </c>
      <c r="F13" s="2">
        <f>B13/B14</f>
        <v>0.24615384615384617</v>
      </c>
      <c r="G13" s="2">
        <f>B13*E13</f>
        <v>9600</v>
      </c>
      <c r="I13" s="42">
        <f>G31-G22</f>
        <v>2400</v>
      </c>
    </row>
    <row r="14" spans="1:10">
      <c r="A14" s="2" t="s">
        <v>8</v>
      </c>
      <c r="B14" s="7">
        <f>SUM(B11:B13)</f>
        <v>1950</v>
      </c>
      <c r="C14" s="2"/>
      <c r="D14" s="2"/>
      <c r="E14" s="2"/>
      <c r="F14" s="2"/>
      <c r="G14" s="2">
        <f>SUM(G11:G13)</f>
        <v>86700</v>
      </c>
      <c r="I14" s="42">
        <f>SUM(I11:I13)</f>
        <v>-15100</v>
      </c>
      <c r="J14" s="46">
        <f>G32-G23</f>
        <v>-15100</v>
      </c>
    </row>
    <row r="15" spans="1:10">
      <c r="A15" s="8"/>
      <c r="B15" s="32"/>
      <c r="C15" s="8"/>
      <c r="D15" s="8"/>
      <c r="E15" s="8"/>
      <c r="F15" s="8"/>
      <c r="G15" s="8"/>
      <c r="I15" s="60"/>
      <c r="J15" s="35"/>
    </row>
    <row r="17" spans="1:16" ht="16">
      <c r="I17" s="199" t="s">
        <v>163</v>
      </c>
      <c r="J17" s="199"/>
      <c r="K17" s="199"/>
      <c r="L17" s="199"/>
    </row>
    <row r="18" spans="1:16" ht="18">
      <c r="A18" s="2"/>
      <c r="B18" s="196" t="s">
        <v>179</v>
      </c>
      <c r="C18" s="197"/>
      <c r="D18" s="197"/>
      <c r="E18" s="197"/>
      <c r="F18" s="197"/>
      <c r="G18" s="198"/>
      <c r="I18" s="35"/>
      <c r="J18" s="59" t="s">
        <v>176</v>
      </c>
      <c r="K18" s="35"/>
      <c r="L18" s="59" t="s">
        <v>177</v>
      </c>
      <c r="N18" s="59" t="s">
        <v>178</v>
      </c>
    </row>
    <row r="19" spans="1:16">
      <c r="A19" s="2"/>
      <c r="B19" s="37" t="s">
        <v>24</v>
      </c>
      <c r="C19" s="37" t="s">
        <v>25</v>
      </c>
      <c r="D19" s="37" t="s">
        <v>26</v>
      </c>
      <c r="E19" s="37" t="s">
        <v>27</v>
      </c>
      <c r="F19" s="37" t="s">
        <v>28</v>
      </c>
      <c r="G19" s="37" t="s">
        <v>8</v>
      </c>
      <c r="J19" s="19"/>
      <c r="L19" s="19"/>
      <c r="N19" s="19"/>
    </row>
    <row r="20" spans="1:16">
      <c r="A20" s="19" t="s">
        <v>0</v>
      </c>
      <c r="B20" s="2">
        <v>1000</v>
      </c>
      <c r="C20" s="2">
        <v>250</v>
      </c>
      <c r="D20" s="2">
        <v>200</v>
      </c>
      <c r="E20" s="2">
        <f>C20-D20</f>
        <v>50</v>
      </c>
      <c r="F20" s="2">
        <f>B20/B23</f>
        <v>0.52631578947368418</v>
      </c>
      <c r="G20" s="2">
        <f>B20*E20</f>
        <v>50000</v>
      </c>
      <c r="I20" s="26" t="s">
        <v>0</v>
      </c>
      <c r="J20" s="2">
        <f>(F29-F20)*B32*E20</f>
        <v>-6315.7894736842054</v>
      </c>
      <c r="L20" s="2">
        <f>(E29-E20)*B29</f>
        <v>-4500</v>
      </c>
      <c r="N20" s="2">
        <f>(B32-B23)*E20*F20</f>
        <v>1315.7894736842104</v>
      </c>
    </row>
    <row r="21" spans="1:16">
      <c r="A21" s="19" t="s">
        <v>1</v>
      </c>
      <c r="B21" s="2">
        <v>500</v>
      </c>
      <c r="C21" s="2">
        <v>850</v>
      </c>
      <c r="D21" s="2">
        <v>720</v>
      </c>
      <c r="E21" s="2">
        <f>C21-D21</f>
        <v>130</v>
      </c>
      <c r="F21" s="2">
        <f>B21/B23</f>
        <v>0.26315789473684209</v>
      </c>
      <c r="G21" s="2">
        <f>B21*E21</f>
        <v>65000</v>
      </c>
      <c r="I21" s="26" t="s">
        <v>1</v>
      </c>
      <c r="J21" s="2">
        <f>(F30-F21)*B32*E21</f>
        <v>7389.473684210534</v>
      </c>
      <c r="L21" s="2">
        <f>(E30-E21)*B30</f>
        <v>-17100</v>
      </c>
      <c r="N21" s="2">
        <f>(B32-B23)*E21*F21</f>
        <v>1710.5263157894735</v>
      </c>
    </row>
    <row r="22" spans="1:16">
      <c r="A22" s="19" t="s">
        <v>2</v>
      </c>
      <c r="B22" s="2">
        <v>400</v>
      </c>
      <c r="C22" s="2">
        <v>80</v>
      </c>
      <c r="D22" s="2">
        <v>50</v>
      </c>
      <c r="E22" s="2">
        <f>C22-D22</f>
        <v>30</v>
      </c>
      <c r="F22" s="2">
        <f>B22/B23</f>
        <v>0.21052631578947367</v>
      </c>
      <c r="G22" s="2">
        <f>B22*E22</f>
        <v>12000</v>
      </c>
      <c r="I22" s="26" t="s">
        <v>2</v>
      </c>
      <c r="J22" s="2">
        <f>(F31-F22)*B32*E22</f>
        <v>2084.210526315791</v>
      </c>
      <c r="L22" s="2">
        <f>(E31-E22)*B31</f>
        <v>0</v>
      </c>
      <c r="N22" s="2">
        <f>(B32-B23)*E22*F22</f>
        <v>315.78947368421052</v>
      </c>
    </row>
    <row r="23" spans="1:16">
      <c r="A23" s="2" t="s">
        <v>8</v>
      </c>
      <c r="B23" s="2">
        <f>SUM(B20:B22)</f>
        <v>1900</v>
      </c>
      <c r="C23" s="2"/>
      <c r="D23" s="2"/>
      <c r="E23" s="2"/>
      <c r="F23" s="2"/>
      <c r="G23" s="2">
        <f>SUM(G20:G22)</f>
        <v>127000</v>
      </c>
      <c r="I23" s="25"/>
      <c r="J23" s="38">
        <f>SUM(J20:J22)</f>
        <v>3157.8947368421195</v>
      </c>
      <c r="L23" s="2">
        <f>SUM(L20:L22)</f>
        <v>-21600</v>
      </c>
      <c r="N23" s="3">
        <f>SUM(N20:N22)</f>
        <v>3342.1052631578946</v>
      </c>
    </row>
    <row r="25" spans="1:16">
      <c r="I25" t="s">
        <v>69</v>
      </c>
      <c r="J25" s="46">
        <f>J23+L23+N23</f>
        <v>-15099.999999999984</v>
      </c>
    </row>
    <row r="26" spans="1:16">
      <c r="J26" s="46"/>
    </row>
    <row r="27" spans="1:16" ht="18">
      <c r="A27" s="2"/>
      <c r="B27" s="196" t="s">
        <v>180</v>
      </c>
      <c r="C27" s="197"/>
      <c r="D27" s="197"/>
      <c r="E27" s="197"/>
      <c r="F27" s="197"/>
      <c r="G27" s="198"/>
      <c r="N27" s="4" t="s">
        <v>170</v>
      </c>
      <c r="O27" t="s">
        <v>157</v>
      </c>
      <c r="P27">
        <f>(E20*B20+E21*B21+E22*B22)/B23</f>
        <v>66.84210526315789</v>
      </c>
    </row>
    <row r="28" spans="1:16">
      <c r="A28" s="2"/>
      <c r="B28" s="40" t="s">
        <v>19</v>
      </c>
      <c r="C28" s="40" t="s">
        <v>20</v>
      </c>
      <c r="D28" s="40" t="s">
        <v>26</v>
      </c>
      <c r="E28" s="40" t="s">
        <v>29</v>
      </c>
      <c r="F28" s="40" t="s">
        <v>23</v>
      </c>
      <c r="G28" s="40" t="s">
        <v>8</v>
      </c>
      <c r="O28" s="1">
        <f>(B32-B23)*P27</f>
        <v>3342.1052631578946</v>
      </c>
    </row>
    <row r="29" spans="1:16">
      <c r="A29" s="19" t="s">
        <v>0</v>
      </c>
      <c r="B29" s="2">
        <v>900</v>
      </c>
      <c r="C29" s="2">
        <v>245</v>
      </c>
      <c r="D29" s="2">
        <v>200</v>
      </c>
      <c r="E29" s="2">
        <f>C29-D29</f>
        <v>45</v>
      </c>
      <c r="F29" s="2">
        <f>B29/B32</f>
        <v>0.46153846153846156</v>
      </c>
      <c r="G29" s="2">
        <f>B29*E29</f>
        <v>40500</v>
      </c>
    </row>
    <row r="30" spans="1:16">
      <c r="A30" s="19" t="s">
        <v>1</v>
      </c>
      <c r="B30" s="2">
        <v>570</v>
      </c>
      <c r="C30" s="2">
        <v>820</v>
      </c>
      <c r="D30" s="2">
        <v>720</v>
      </c>
      <c r="E30" s="2">
        <f>C30-D30</f>
        <v>100</v>
      </c>
      <c r="F30" s="2">
        <f>B30/B32</f>
        <v>0.29230769230769232</v>
      </c>
      <c r="G30" s="2">
        <f>B30*E30</f>
        <v>57000</v>
      </c>
      <c r="J30" s="4" t="s">
        <v>170</v>
      </c>
    </row>
    <row r="31" spans="1:16">
      <c r="A31" s="19" t="s">
        <v>2</v>
      </c>
      <c r="B31" s="2">
        <v>480</v>
      </c>
      <c r="C31" s="2">
        <v>80</v>
      </c>
      <c r="D31" s="2">
        <v>50</v>
      </c>
      <c r="E31" s="2">
        <f>C31-D31</f>
        <v>30</v>
      </c>
      <c r="F31" s="2">
        <f>B31/B32</f>
        <v>0.24615384615384617</v>
      </c>
      <c r="G31" s="2">
        <f>B31*E31</f>
        <v>14400</v>
      </c>
      <c r="N31" s="4" t="s">
        <v>170</v>
      </c>
    </row>
    <row r="32" spans="1:16">
      <c r="A32" s="2" t="s">
        <v>8</v>
      </c>
      <c r="B32" s="7">
        <f>SUM(B29:B31)</f>
        <v>1950</v>
      </c>
      <c r="C32" s="2"/>
      <c r="D32" s="2"/>
      <c r="E32" s="2"/>
      <c r="F32" s="2"/>
      <c r="G32" s="2">
        <f>SUM(G29:G31)</f>
        <v>111900</v>
      </c>
      <c r="I32" s="60"/>
      <c r="J32" s="60"/>
    </row>
    <row r="33" spans="2:17">
      <c r="I33" s="61" t="s">
        <v>182</v>
      </c>
      <c r="J33" s="61" t="s">
        <v>173</v>
      </c>
      <c r="M33" s="61" t="s">
        <v>183</v>
      </c>
      <c r="N33" s="61" t="s">
        <v>174</v>
      </c>
      <c r="P33" s="61" t="s">
        <v>181</v>
      </c>
      <c r="Q33" s="61" t="s">
        <v>172</v>
      </c>
    </row>
    <row r="34" spans="2:17">
      <c r="I34" s="19" t="s">
        <v>0</v>
      </c>
      <c r="J34" s="2">
        <v>900</v>
      </c>
      <c r="M34" s="19" t="s">
        <v>0</v>
      </c>
      <c r="N34" s="2">
        <f>B32*F20</f>
        <v>1026.3157894736842</v>
      </c>
      <c r="P34" s="19" t="s">
        <v>0</v>
      </c>
      <c r="Q34" s="2">
        <v>1000</v>
      </c>
    </row>
    <row r="35" spans="2:17">
      <c r="I35" s="19" t="s">
        <v>1</v>
      </c>
      <c r="J35" s="2">
        <v>570</v>
      </c>
      <c r="M35" s="19" t="s">
        <v>1</v>
      </c>
      <c r="N35" s="2">
        <f>B32*F21</f>
        <v>513.15789473684208</v>
      </c>
      <c r="P35" s="19" t="s">
        <v>1</v>
      </c>
      <c r="Q35" s="2">
        <v>500</v>
      </c>
    </row>
    <row r="36" spans="2:17">
      <c r="C36" s="28"/>
      <c r="I36" s="19" t="s">
        <v>2</v>
      </c>
      <c r="J36" s="2">
        <v>480</v>
      </c>
      <c r="M36" s="19" t="s">
        <v>2</v>
      </c>
      <c r="N36" s="2">
        <f>B32*F22</f>
        <v>410.52631578947364</v>
      </c>
      <c r="P36" s="19" t="s">
        <v>2</v>
      </c>
      <c r="Q36" s="2">
        <v>400</v>
      </c>
    </row>
    <row r="37" spans="2:17">
      <c r="B37" s="8"/>
      <c r="C37" s="28"/>
      <c r="K37">
        <f>(J34-N34)*E20</f>
        <v>-6315.7894736842081</v>
      </c>
    </row>
    <row r="38" spans="2:17">
      <c r="B38" s="45"/>
      <c r="K38">
        <f>(J35-N35)*E21</f>
        <v>7389.4736842105294</v>
      </c>
      <c r="M38" s="35"/>
      <c r="O38">
        <f>(N34-Q34)*E20</f>
        <v>1315.7894736842081</v>
      </c>
    </row>
    <row r="39" spans="2:17">
      <c r="B39" s="45"/>
      <c r="K39">
        <f>(J36-N36)*E22</f>
        <v>2084.210526315791</v>
      </c>
      <c r="M39" s="35"/>
      <c r="O39">
        <f>(N35-Q35)*E21</f>
        <v>1710.5263157894706</v>
      </c>
    </row>
    <row r="40" spans="2:17">
      <c r="B40" s="45"/>
      <c r="H40" s="8"/>
      <c r="I40" s="8"/>
      <c r="K40" s="48">
        <f>SUM(K37:K39)</f>
        <v>3157.8947368421123</v>
      </c>
      <c r="M40" s="35"/>
      <c r="O40">
        <f>(N36-Q36)*E22</f>
        <v>315.78947368420927</v>
      </c>
    </row>
    <row r="41" spans="2:17">
      <c r="B41" s="8"/>
      <c r="C41" s="48"/>
      <c r="H41" s="45"/>
      <c r="I41" s="8"/>
      <c r="M41" s="35"/>
      <c r="O41" s="1">
        <f>SUM(O38:O40)</f>
        <v>3342.1052631578877</v>
      </c>
    </row>
    <row r="42" spans="2:17">
      <c r="H42" s="45"/>
      <c r="I42" s="8"/>
    </row>
    <row r="43" spans="2:17">
      <c r="H43" s="45"/>
      <c r="I43" s="8"/>
    </row>
  </sheetData>
  <mergeCells count="4">
    <mergeCell ref="B9:G9"/>
    <mergeCell ref="B18:G18"/>
    <mergeCell ref="B27:G27"/>
    <mergeCell ref="I17:L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92"/>
  <sheetViews>
    <sheetView topLeftCell="A47" workbookViewId="0">
      <selection activeCell="B88" sqref="B88"/>
    </sheetView>
  </sheetViews>
  <sheetFormatPr baseColWidth="10" defaultRowHeight="14" x14ac:dyDescent="0"/>
  <cols>
    <col min="1" max="1" width="24.1640625" customWidth="1"/>
    <col min="5" max="5" width="16.5" customWidth="1"/>
  </cols>
  <sheetData>
    <row r="7" spans="1:10" ht="20">
      <c r="A7" s="5" t="s">
        <v>307</v>
      </c>
    </row>
    <row r="9" spans="1:10">
      <c r="A9" s="2"/>
      <c r="B9" s="172" t="s">
        <v>164</v>
      </c>
      <c r="C9" s="173"/>
      <c r="D9" s="174"/>
      <c r="F9" s="175" t="s">
        <v>95</v>
      </c>
      <c r="G9" s="176"/>
      <c r="H9" s="190"/>
    </row>
    <row r="10" spans="1:10">
      <c r="A10" s="2"/>
      <c r="B10" s="36" t="s">
        <v>3</v>
      </c>
      <c r="C10" s="36" t="s">
        <v>5</v>
      </c>
      <c r="D10" s="36" t="s">
        <v>39</v>
      </c>
      <c r="F10" s="37" t="s">
        <v>3</v>
      </c>
      <c r="G10" s="37" t="s">
        <v>5</v>
      </c>
      <c r="H10" s="37" t="s">
        <v>39</v>
      </c>
      <c r="J10" s="42" t="s">
        <v>41</v>
      </c>
    </row>
    <row r="11" spans="1:10" ht="15">
      <c r="A11" s="33" t="s">
        <v>30</v>
      </c>
      <c r="B11" s="2"/>
      <c r="C11" s="2"/>
      <c r="D11" s="2"/>
      <c r="F11" s="2"/>
      <c r="G11" s="2"/>
      <c r="H11" s="2"/>
      <c r="J11" s="42"/>
    </row>
    <row r="12" spans="1:10">
      <c r="A12" s="19" t="s">
        <v>31</v>
      </c>
      <c r="B12" s="2">
        <v>50</v>
      </c>
      <c r="C12" s="2">
        <v>52</v>
      </c>
      <c r="D12" s="2">
        <f>B12*C12</f>
        <v>2600</v>
      </c>
      <c r="F12" s="3">
        <v>49</v>
      </c>
      <c r="G12" s="2">
        <v>50</v>
      </c>
      <c r="H12" s="2">
        <f>F12*G12</f>
        <v>2450</v>
      </c>
      <c r="J12" s="43">
        <f>D12-H12</f>
        <v>150</v>
      </c>
    </row>
    <row r="13" spans="1:10">
      <c r="A13" s="19" t="s">
        <v>32</v>
      </c>
      <c r="B13" s="2">
        <v>24</v>
      </c>
      <c r="C13" s="2">
        <v>68</v>
      </c>
      <c r="D13" s="2">
        <f t="shared" ref="D13:D19" si="0">B13*C13</f>
        <v>1632</v>
      </c>
      <c r="F13" s="2">
        <v>24.5</v>
      </c>
      <c r="G13" s="2">
        <v>70</v>
      </c>
      <c r="H13" s="2">
        <f t="shared" ref="H13:H19" si="1">F13*G13</f>
        <v>1715</v>
      </c>
      <c r="J13" s="43">
        <f>D13-H13</f>
        <v>-83</v>
      </c>
    </row>
    <row r="14" spans="1:10">
      <c r="A14" s="19" t="s">
        <v>33</v>
      </c>
      <c r="B14" s="2">
        <v>24</v>
      </c>
      <c r="C14" s="2">
        <v>18</v>
      </c>
      <c r="D14" s="2">
        <f t="shared" si="0"/>
        <v>432</v>
      </c>
      <c r="F14" s="2">
        <v>24.5</v>
      </c>
      <c r="G14" s="2">
        <v>17</v>
      </c>
      <c r="H14" s="2">
        <f t="shared" si="1"/>
        <v>416.5</v>
      </c>
      <c r="J14" s="43">
        <f t="shared" ref="J14:J20" si="2">D14-H14</f>
        <v>15.5</v>
      </c>
    </row>
    <row r="15" spans="1:10">
      <c r="A15" s="19" t="s">
        <v>34</v>
      </c>
      <c r="B15" s="2">
        <v>11</v>
      </c>
      <c r="C15" s="2">
        <v>52</v>
      </c>
      <c r="D15" s="2">
        <f t="shared" si="0"/>
        <v>572</v>
      </c>
      <c r="F15" s="2">
        <v>12.25</v>
      </c>
      <c r="G15" s="2">
        <v>50</v>
      </c>
      <c r="H15" s="2">
        <f t="shared" si="1"/>
        <v>612.5</v>
      </c>
      <c r="J15" s="43">
        <f t="shared" si="2"/>
        <v>-40.5</v>
      </c>
    </row>
    <row r="16" spans="1:10" ht="15">
      <c r="A16" s="33" t="s">
        <v>35</v>
      </c>
      <c r="B16" s="2"/>
      <c r="C16" s="2"/>
      <c r="D16" s="2">
        <f t="shared" si="0"/>
        <v>0</v>
      </c>
      <c r="F16" s="2"/>
      <c r="G16" s="2"/>
      <c r="H16" s="2">
        <f t="shared" si="1"/>
        <v>0</v>
      </c>
      <c r="J16" s="43">
        <f t="shared" si="2"/>
        <v>0</v>
      </c>
    </row>
    <row r="17" spans="1:10">
      <c r="A17" s="19" t="s">
        <v>36</v>
      </c>
      <c r="B17" s="2">
        <v>260</v>
      </c>
      <c r="C17" s="2">
        <v>0.9</v>
      </c>
      <c r="D17" s="2">
        <f t="shared" si="0"/>
        <v>234</v>
      </c>
      <c r="F17" s="2">
        <v>245</v>
      </c>
      <c r="G17" s="2">
        <v>0.9</v>
      </c>
      <c r="H17" s="2">
        <f t="shared" si="1"/>
        <v>220.5</v>
      </c>
      <c r="J17" s="43">
        <f t="shared" si="2"/>
        <v>13.5</v>
      </c>
    </row>
    <row r="18" spans="1:10">
      <c r="A18" s="19" t="s">
        <v>33</v>
      </c>
      <c r="B18" s="2">
        <v>50</v>
      </c>
      <c r="C18" s="2">
        <v>16</v>
      </c>
      <c r="D18" s="2">
        <f t="shared" si="0"/>
        <v>800</v>
      </c>
      <c r="F18" s="2">
        <v>49</v>
      </c>
      <c r="G18" s="2">
        <v>15</v>
      </c>
      <c r="H18" s="2">
        <f t="shared" si="1"/>
        <v>735</v>
      </c>
      <c r="J18" s="43">
        <f t="shared" si="2"/>
        <v>65</v>
      </c>
    </row>
    <row r="19" spans="1:10">
      <c r="A19" s="19" t="s">
        <v>37</v>
      </c>
      <c r="B19" s="2">
        <v>50</v>
      </c>
      <c r="C19" s="2">
        <v>19</v>
      </c>
      <c r="D19" s="2">
        <f t="shared" si="0"/>
        <v>950</v>
      </c>
      <c r="F19" s="2">
        <v>49</v>
      </c>
      <c r="G19" s="2">
        <v>20</v>
      </c>
      <c r="H19" s="2">
        <f t="shared" si="1"/>
        <v>980</v>
      </c>
      <c r="J19" s="43">
        <f t="shared" si="2"/>
        <v>-30</v>
      </c>
    </row>
    <row r="20" spans="1:10">
      <c r="A20" s="2" t="s">
        <v>38</v>
      </c>
      <c r="B20" s="2">
        <v>245</v>
      </c>
      <c r="C20" s="2">
        <v>19</v>
      </c>
      <c r="D20" s="2">
        <f>SUM(D12:D19)</f>
        <v>7220</v>
      </c>
      <c r="F20" s="2">
        <v>245</v>
      </c>
      <c r="G20" s="2">
        <v>20</v>
      </c>
      <c r="H20" s="2">
        <f>SUM(H12:H19)</f>
        <v>7129.5</v>
      </c>
      <c r="J20" s="43">
        <f t="shared" si="2"/>
        <v>90.5</v>
      </c>
    </row>
    <row r="22" spans="1:10">
      <c r="F22" s="1" t="s">
        <v>40</v>
      </c>
    </row>
    <row r="24" spans="1:10">
      <c r="B24" t="s">
        <v>42</v>
      </c>
    </row>
    <row r="28" spans="1:10" ht="20">
      <c r="A28" s="5" t="s">
        <v>308</v>
      </c>
    </row>
    <row r="29" spans="1:10" ht="20">
      <c r="A29" s="5"/>
    </row>
    <row r="30" spans="1:10">
      <c r="B30" s="187" t="s">
        <v>165</v>
      </c>
      <c r="C30" s="187"/>
      <c r="D30" s="187"/>
      <c r="F30" s="189" t="s">
        <v>166</v>
      </c>
      <c r="G30" s="189"/>
      <c r="H30" s="189"/>
    </row>
    <row r="31" spans="1:10">
      <c r="A31" s="2"/>
      <c r="B31" s="36" t="s">
        <v>19</v>
      </c>
      <c r="C31" s="36" t="s">
        <v>20</v>
      </c>
      <c r="D31" s="36" t="s">
        <v>43</v>
      </c>
      <c r="F31" s="37" t="s">
        <v>24</v>
      </c>
      <c r="G31" s="37" t="s">
        <v>25</v>
      </c>
      <c r="H31" s="37" t="s">
        <v>46</v>
      </c>
      <c r="J31" s="42" t="s">
        <v>9</v>
      </c>
    </row>
    <row r="32" spans="1:10">
      <c r="A32" s="19" t="s">
        <v>44</v>
      </c>
      <c r="B32" s="2">
        <v>1425</v>
      </c>
      <c r="C32" s="2">
        <v>4.9000000000000004</v>
      </c>
      <c r="D32" s="2">
        <f>B32*C32</f>
        <v>6982.5000000000009</v>
      </c>
      <c r="F32" s="2">
        <v>1500</v>
      </c>
      <c r="G32" s="2">
        <v>5</v>
      </c>
      <c r="H32" s="2">
        <f>F32*G32</f>
        <v>7500</v>
      </c>
      <c r="J32" s="42">
        <f>D32-H32</f>
        <v>-517.49999999999909</v>
      </c>
    </row>
    <row r="33" spans="1:13">
      <c r="A33" s="19" t="s">
        <v>45</v>
      </c>
      <c r="B33" s="2">
        <v>29</v>
      </c>
      <c r="C33" s="2">
        <v>16</v>
      </c>
      <c r="D33" s="2">
        <f>B33*C33</f>
        <v>464</v>
      </c>
      <c r="F33" s="3">
        <v>25</v>
      </c>
      <c r="G33" s="2">
        <v>15</v>
      </c>
      <c r="H33" s="2">
        <f>F33*G33</f>
        <v>375</v>
      </c>
      <c r="J33" s="42">
        <f>D33-H33</f>
        <v>89</v>
      </c>
    </row>
    <row r="34" spans="1:13">
      <c r="A34" s="2" t="s">
        <v>8</v>
      </c>
      <c r="B34" s="2"/>
      <c r="C34" s="2"/>
      <c r="D34" s="2">
        <f>SUM(D32:D33)</f>
        <v>7446.5000000000009</v>
      </c>
      <c r="F34" s="2"/>
      <c r="G34" s="2"/>
      <c r="H34" s="2">
        <f>SUM(H32:H33)</f>
        <v>7875</v>
      </c>
      <c r="J34" s="42">
        <f>D34-H34</f>
        <v>-428.49999999999909</v>
      </c>
    </row>
    <row r="36" spans="1:13">
      <c r="F36" s="1" t="s">
        <v>47</v>
      </c>
    </row>
    <row r="37" spans="1:13">
      <c r="F37" s="35"/>
    </row>
    <row r="38" spans="1:13" ht="16">
      <c r="A38" s="11" t="s">
        <v>79</v>
      </c>
      <c r="F38" s="35"/>
    </row>
    <row r="40" spans="1:13">
      <c r="A40" s="4" t="s">
        <v>48</v>
      </c>
      <c r="B40">
        <f>(C32-G32)*B32</f>
        <v>-142.49999999999949</v>
      </c>
      <c r="E40" s="4" t="s">
        <v>49</v>
      </c>
      <c r="F40">
        <f>(B32-F32)*G32</f>
        <v>-375</v>
      </c>
    </row>
    <row r="41" spans="1:13">
      <c r="B41">
        <f>(C33-G33)*B33</f>
        <v>29</v>
      </c>
      <c r="F41">
        <f>(B33-F33)*G33</f>
        <v>60</v>
      </c>
    </row>
    <row r="43" spans="1:13" ht="28">
      <c r="A43" s="150" t="s">
        <v>302</v>
      </c>
    </row>
    <row r="44" spans="1:13" ht="23">
      <c r="A44" s="130" t="s">
        <v>303</v>
      </c>
    </row>
    <row r="46" spans="1:13">
      <c r="B46" s="14"/>
      <c r="C46" s="14" t="s">
        <v>14</v>
      </c>
      <c r="D46" s="14"/>
      <c r="F46" s="15"/>
      <c r="G46" s="15" t="s">
        <v>50</v>
      </c>
      <c r="H46" s="15"/>
      <c r="I46" t="s">
        <v>68</v>
      </c>
      <c r="J46" s="39"/>
      <c r="K46" s="39" t="s">
        <v>54</v>
      </c>
      <c r="L46" s="39"/>
      <c r="M46" t="s">
        <v>56</v>
      </c>
    </row>
    <row r="47" spans="1:13">
      <c r="A47" s="2"/>
      <c r="B47" s="36" t="s">
        <v>19</v>
      </c>
      <c r="C47" s="36" t="s">
        <v>21</v>
      </c>
      <c r="D47" s="36" t="s">
        <v>53</v>
      </c>
      <c r="F47" s="37" t="s">
        <v>24</v>
      </c>
      <c r="G47" s="37" t="s">
        <v>26</v>
      </c>
      <c r="H47" s="37" t="s">
        <v>53</v>
      </c>
      <c r="J47" s="40" t="s">
        <v>19</v>
      </c>
      <c r="K47" s="40" t="s">
        <v>26</v>
      </c>
      <c r="L47" s="40" t="s">
        <v>53</v>
      </c>
    </row>
    <row r="48" spans="1:13">
      <c r="A48" s="2" t="s">
        <v>51</v>
      </c>
      <c r="B48" s="2">
        <v>9000</v>
      </c>
      <c r="C48" s="2">
        <v>12.5</v>
      </c>
      <c r="D48" s="2">
        <f>B48*C48</f>
        <v>112500</v>
      </c>
      <c r="F48" s="2">
        <v>10000</v>
      </c>
      <c r="G48" s="2">
        <v>12</v>
      </c>
      <c r="H48" s="2">
        <f>F48*G48</f>
        <v>120000</v>
      </c>
      <c r="I48">
        <f>D48-H48</f>
        <v>-7500</v>
      </c>
      <c r="J48" s="3">
        <v>9000</v>
      </c>
      <c r="K48" s="2">
        <v>12</v>
      </c>
      <c r="L48" s="2">
        <f>J48*K48</f>
        <v>108000</v>
      </c>
      <c r="M48">
        <f>D48-L48</f>
        <v>4500</v>
      </c>
    </row>
    <row r="49" spans="1:14">
      <c r="A49" s="2" t="s">
        <v>45</v>
      </c>
      <c r="B49" s="2">
        <v>400</v>
      </c>
      <c r="C49" s="2">
        <v>12</v>
      </c>
      <c r="D49" s="2">
        <f t="shared" ref="D49:D50" si="3">B49*C49</f>
        <v>4800</v>
      </c>
      <c r="F49" s="2">
        <v>500</v>
      </c>
      <c r="G49" s="2">
        <v>10</v>
      </c>
      <c r="H49" s="2">
        <f t="shared" ref="H49:H50" si="4">F49*G49</f>
        <v>5000</v>
      </c>
      <c r="I49">
        <f>D49-H49</f>
        <v>-200</v>
      </c>
      <c r="J49" s="2">
        <v>450</v>
      </c>
      <c r="K49" s="2">
        <v>10</v>
      </c>
      <c r="L49" s="2">
        <f t="shared" ref="L49:L50" si="5">J49*K49</f>
        <v>4500</v>
      </c>
      <c r="M49">
        <f>D49-L49</f>
        <v>300</v>
      </c>
    </row>
    <row r="50" spans="1:14">
      <c r="A50" s="2" t="s">
        <v>52</v>
      </c>
      <c r="B50" s="2">
        <v>400</v>
      </c>
      <c r="C50" s="2">
        <v>32</v>
      </c>
      <c r="D50" s="2">
        <f t="shared" si="3"/>
        <v>12800</v>
      </c>
      <c r="F50" s="2">
        <v>500</v>
      </c>
      <c r="G50" s="2">
        <v>30</v>
      </c>
      <c r="H50" s="2">
        <f t="shared" si="4"/>
        <v>15000</v>
      </c>
      <c r="I50">
        <f>D50-H50</f>
        <v>-2200</v>
      </c>
      <c r="J50" s="2">
        <v>450</v>
      </c>
      <c r="K50" s="2">
        <v>30</v>
      </c>
      <c r="L50" s="2">
        <f t="shared" si="5"/>
        <v>13500</v>
      </c>
      <c r="M50">
        <f>D50-L50</f>
        <v>-700</v>
      </c>
    </row>
    <row r="51" spans="1:14">
      <c r="A51" s="2" t="s">
        <v>8</v>
      </c>
      <c r="B51" s="2">
        <v>45000</v>
      </c>
      <c r="C51" s="2">
        <f>D51/B51</f>
        <v>2.891111111111111</v>
      </c>
      <c r="D51" s="2">
        <f>SUM(D48:D50)</f>
        <v>130100</v>
      </c>
      <c r="F51" s="2">
        <v>50000</v>
      </c>
      <c r="G51" s="2">
        <f>H51/F51</f>
        <v>2.8</v>
      </c>
      <c r="H51" s="2">
        <f>SUM(H48:H50)</f>
        <v>140000</v>
      </c>
      <c r="I51">
        <f>D51-H51</f>
        <v>-9900</v>
      </c>
      <c r="J51" s="2">
        <v>45000</v>
      </c>
      <c r="K51" s="2">
        <f>L51/J51</f>
        <v>2.8</v>
      </c>
      <c r="L51" s="2">
        <f>SUM(L48:L50)</f>
        <v>126000</v>
      </c>
      <c r="M51">
        <f>D51-L51</f>
        <v>4100</v>
      </c>
    </row>
    <row r="53" spans="1:14">
      <c r="J53" s="1" t="s">
        <v>55</v>
      </c>
    </row>
    <row r="54" spans="1:14" ht="16">
      <c r="A54" s="11" t="s">
        <v>79</v>
      </c>
    </row>
    <row r="56" spans="1:14">
      <c r="B56" s="4" t="s">
        <v>60</v>
      </c>
      <c r="C56" s="171" t="s">
        <v>57</v>
      </c>
      <c r="D56" s="171"/>
    </row>
    <row r="58" spans="1:14">
      <c r="B58" s="200" t="s">
        <v>58</v>
      </c>
      <c r="C58" s="200"/>
      <c r="D58">
        <f>(B48-J48)*K48</f>
        <v>0</v>
      </c>
      <c r="F58" s="4" t="s">
        <v>59</v>
      </c>
      <c r="G58">
        <f>(C48-K48)*B48</f>
        <v>4500</v>
      </c>
    </row>
    <row r="59" spans="1:14">
      <c r="D59">
        <f>(B49-J49)*K49</f>
        <v>-500</v>
      </c>
      <c r="G59">
        <f>(C49-K49)*B49</f>
        <v>800</v>
      </c>
    </row>
    <row r="61" spans="1:14" ht="23">
      <c r="A61" s="130" t="s">
        <v>304</v>
      </c>
    </row>
    <row r="62" spans="1:14">
      <c r="N62" s="42"/>
    </row>
    <row r="63" spans="1:14">
      <c r="B63" s="172" t="s">
        <v>14</v>
      </c>
      <c r="C63" s="201"/>
      <c r="D63" s="174"/>
      <c r="F63" s="175" t="s">
        <v>50</v>
      </c>
      <c r="G63" s="176"/>
      <c r="H63" s="190"/>
      <c r="I63" s="156" t="s">
        <v>68</v>
      </c>
      <c r="J63" s="182" t="s">
        <v>54</v>
      </c>
      <c r="K63" s="183"/>
      <c r="L63" s="184"/>
      <c r="N63" s="42" t="s">
        <v>347</v>
      </c>
    </row>
    <row r="64" spans="1:14">
      <c r="A64" s="25"/>
      <c r="B64" s="36" t="s">
        <v>19</v>
      </c>
      <c r="C64" s="36" t="s">
        <v>21</v>
      </c>
      <c r="D64" s="36" t="s">
        <v>53</v>
      </c>
      <c r="F64" s="37" t="s">
        <v>24</v>
      </c>
      <c r="G64" s="37" t="s">
        <v>26</v>
      </c>
      <c r="H64" s="37" t="s">
        <v>53</v>
      </c>
      <c r="J64" s="40" t="s">
        <v>19</v>
      </c>
      <c r="K64" s="40" t="s">
        <v>26</v>
      </c>
      <c r="L64" s="40" t="s">
        <v>53</v>
      </c>
      <c r="N64" s="42"/>
    </row>
    <row r="65" spans="1:15">
      <c r="A65" s="2" t="s">
        <v>51</v>
      </c>
      <c r="B65" s="2">
        <v>1148</v>
      </c>
      <c r="C65" s="2">
        <v>52</v>
      </c>
      <c r="D65" s="2">
        <f>B65*C65</f>
        <v>59696</v>
      </c>
      <c r="F65" s="2">
        <v>1200</v>
      </c>
      <c r="G65" s="2">
        <v>50</v>
      </c>
      <c r="H65" s="2">
        <f>F65*G65</f>
        <v>60000</v>
      </c>
      <c r="I65">
        <f>D65-H65</f>
        <v>-304</v>
      </c>
      <c r="J65" s="3">
        <v>1148</v>
      </c>
      <c r="K65" s="2">
        <v>50</v>
      </c>
      <c r="L65" s="2">
        <f>J65*K65</f>
        <v>57400</v>
      </c>
      <c r="N65" s="42">
        <f>D65-L65</f>
        <v>2296</v>
      </c>
    </row>
    <row r="66" spans="1:15">
      <c r="A66" s="2" t="s">
        <v>45</v>
      </c>
      <c r="B66" s="2">
        <v>550</v>
      </c>
      <c r="C66" s="2">
        <v>14</v>
      </c>
      <c r="D66" s="2">
        <f t="shared" ref="D66" si="6">B66*C66</f>
        <v>7700</v>
      </c>
      <c r="F66" s="2">
        <v>600</v>
      </c>
      <c r="G66" s="2">
        <v>12</v>
      </c>
      <c r="H66" s="2">
        <f t="shared" ref="H66" si="7">F66*G66</f>
        <v>7200</v>
      </c>
      <c r="I66">
        <f>D66-H66</f>
        <v>500</v>
      </c>
      <c r="J66" s="2">
        <v>574</v>
      </c>
      <c r="K66" s="2">
        <v>12</v>
      </c>
      <c r="L66" s="2">
        <f t="shared" ref="L66" si="8">J66*K66</f>
        <v>6888</v>
      </c>
      <c r="N66" s="42">
        <f>D66-L66</f>
        <v>812</v>
      </c>
      <c r="O66" s="1">
        <f>N65+N66</f>
        <v>3108</v>
      </c>
    </row>
    <row r="67" spans="1:15">
      <c r="A67" s="2" t="s">
        <v>61</v>
      </c>
      <c r="B67" s="2">
        <v>550</v>
      </c>
      <c r="C67" s="2">
        <f>D67/B67</f>
        <v>169.68</v>
      </c>
      <c r="D67" s="2">
        <v>93324</v>
      </c>
      <c r="F67" s="2">
        <v>600</v>
      </c>
      <c r="G67" s="2">
        <f>H67/F67</f>
        <v>188</v>
      </c>
      <c r="H67" s="2">
        <v>112800</v>
      </c>
      <c r="I67">
        <f>D67-H67</f>
        <v>-19476</v>
      </c>
      <c r="J67" s="2">
        <v>574</v>
      </c>
      <c r="K67" s="2">
        <f>L67/J67</f>
        <v>188</v>
      </c>
      <c r="L67" s="2">
        <v>107912</v>
      </c>
      <c r="N67" s="168">
        <f>D67-L67</f>
        <v>-14588</v>
      </c>
    </row>
    <row r="68" spans="1:15">
      <c r="A68" s="2" t="s">
        <v>8</v>
      </c>
      <c r="B68" s="2">
        <v>11480</v>
      </c>
      <c r="C68" s="2">
        <f>D68/B68</f>
        <v>14</v>
      </c>
      <c r="D68" s="2">
        <f>SUM(D65:D67)</f>
        <v>160720</v>
      </c>
      <c r="F68" s="2">
        <v>12000</v>
      </c>
      <c r="G68" s="2">
        <f>H68/F68</f>
        <v>15</v>
      </c>
      <c r="H68" s="2">
        <f>SUM(H65:H67)</f>
        <v>180000</v>
      </c>
      <c r="I68">
        <f>D68-H68</f>
        <v>-19280</v>
      </c>
      <c r="J68" s="2">
        <v>11480</v>
      </c>
      <c r="K68" s="2">
        <f>L68/J68</f>
        <v>15</v>
      </c>
      <c r="L68" s="2">
        <f>SUM(L65:L67)</f>
        <v>172200</v>
      </c>
      <c r="N68" s="169">
        <f>D68-L68</f>
        <v>-11480</v>
      </c>
    </row>
    <row r="70" spans="1:15" ht="16">
      <c r="A70" s="11" t="s">
        <v>79</v>
      </c>
      <c r="J70" s="1" t="s">
        <v>62</v>
      </c>
      <c r="K70" s="1"/>
    </row>
    <row r="71" spans="1:15" ht="16">
      <c r="A71" s="11"/>
      <c r="J71" s="1"/>
      <c r="K71" s="1"/>
    </row>
    <row r="72" spans="1:15">
      <c r="A72" t="s">
        <v>63</v>
      </c>
      <c r="B72">
        <f>(C65-K65)*B65</f>
        <v>2296</v>
      </c>
      <c r="D72" t="s">
        <v>64</v>
      </c>
      <c r="F72">
        <f>(B65-J65)*K65</f>
        <v>0</v>
      </c>
      <c r="H72" s="4" t="s">
        <v>197</v>
      </c>
    </row>
    <row r="73" spans="1:15">
      <c r="B73">
        <f>(C66-K66)*B66</f>
        <v>1100</v>
      </c>
      <c r="F73">
        <f>(B66-J66)*K66</f>
        <v>-288</v>
      </c>
      <c r="H73" s="1">
        <f>B72+B73+F72+F73</f>
        <v>3108</v>
      </c>
    </row>
    <row r="77" spans="1:15">
      <c r="A77" t="s">
        <v>346</v>
      </c>
    </row>
    <row r="78" spans="1:15">
      <c r="B78" t="s">
        <v>114</v>
      </c>
      <c r="C78">
        <v>600</v>
      </c>
      <c r="D78">
        <v>100</v>
      </c>
      <c r="E78">
        <f>C78*D78</f>
        <v>60000</v>
      </c>
    </row>
    <row r="79" spans="1:15">
      <c r="B79" t="s">
        <v>112</v>
      </c>
      <c r="C79">
        <v>600</v>
      </c>
      <c r="D79">
        <v>88</v>
      </c>
      <c r="E79">
        <f>C79*D79</f>
        <v>52800</v>
      </c>
    </row>
    <row r="80" spans="1:15">
      <c r="E80">
        <f>E78+E79</f>
        <v>112800</v>
      </c>
    </row>
    <row r="83" spans="1:5">
      <c r="A83" t="s">
        <v>133</v>
      </c>
    </row>
    <row r="84" spans="1:5">
      <c r="B84" t="s">
        <v>114</v>
      </c>
      <c r="C84">
        <v>600</v>
      </c>
      <c r="D84">
        <v>100</v>
      </c>
      <c r="E84">
        <f>C84*D84</f>
        <v>60000</v>
      </c>
    </row>
    <row r="85" spans="1:5">
      <c r="B85" t="s">
        <v>112</v>
      </c>
      <c r="C85">
        <v>550</v>
      </c>
      <c r="D85">
        <v>88</v>
      </c>
      <c r="E85">
        <f>C85*D85</f>
        <v>48400</v>
      </c>
    </row>
    <row r="86" spans="1:5">
      <c r="E86">
        <f>E84+E85</f>
        <v>108400</v>
      </c>
    </row>
    <row r="89" spans="1:5">
      <c r="A89" t="s">
        <v>104</v>
      </c>
      <c r="B89">
        <f>D67-E86</f>
        <v>-15076</v>
      </c>
      <c r="E89" s="4" t="s">
        <v>197</v>
      </c>
    </row>
    <row r="90" spans="1:5">
      <c r="A90" t="s">
        <v>107</v>
      </c>
      <c r="B90">
        <f>E86-(B67*G67)</f>
        <v>5000</v>
      </c>
      <c r="E90" s="156">
        <f>B72+B73+F72+F73+B89+B90+B91</f>
        <v>-11480</v>
      </c>
    </row>
    <row r="91" spans="1:5">
      <c r="A91" t="s">
        <v>138</v>
      </c>
      <c r="B91">
        <f>(B67*G67)-(J67*K67)</f>
        <v>-4512</v>
      </c>
    </row>
    <row r="92" spans="1:5">
      <c r="B92" s="154">
        <f>B89+B90+B91</f>
        <v>-14588</v>
      </c>
    </row>
  </sheetData>
  <mergeCells count="9">
    <mergeCell ref="J63:L63"/>
    <mergeCell ref="C56:D56"/>
    <mergeCell ref="B58:C58"/>
    <mergeCell ref="B9:D9"/>
    <mergeCell ref="F9:H9"/>
    <mergeCell ref="B30:D30"/>
    <mergeCell ref="F30:H30"/>
    <mergeCell ref="F63:H63"/>
    <mergeCell ref="B63:D6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63"/>
  <sheetViews>
    <sheetView workbookViewId="0">
      <selection activeCell="E69" sqref="E69"/>
    </sheetView>
  </sheetViews>
  <sheetFormatPr baseColWidth="10" defaultRowHeight="14" x14ac:dyDescent="0"/>
  <cols>
    <col min="1" max="1" width="12.5" customWidth="1"/>
    <col min="3" max="3" width="14.1640625" customWidth="1"/>
    <col min="5" max="5" width="10.5" customWidth="1"/>
  </cols>
  <sheetData>
    <row r="5" spans="1:12" ht="25">
      <c r="A5" s="18" t="s">
        <v>305</v>
      </c>
    </row>
    <row r="8" spans="1:12">
      <c r="A8" s="2"/>
      <c r="B8" s="202" t="s">
        <v>65</v>
      </c>
      <c r="C8" s="203"/>
      <c r="D8" s="204"/>
      <c r="G8" s="2"/>
      <c r="H8" s="205" t="s">
        <v>140</v>
      </c>
      <c r="I8" s="201"/>
      <c r="J8" s="206"/>
      <c r="L8" s="2" t="s">
        <v>100</v>
      </c>
    </row>
    <row r="9" spans="1:12">
      <c r="A9" s="2"/>
      <c r="B9" s="2" t="s">
        <v>3</v>
      </c>
      <c r="C9" s="2" t="s">
        <v>5</v>
      </c>
      <c r="D9" s="2" t="s">
        <v>39</v>
      </c>
      <c r="G9" s="2"/>
      <c r="H9" s="2" t="s">
        <v>3</v>
      </c>
      <c r="I9" s="2" t="s">
        <v>5</v>
      </c>
      <c r="J9" s="2" t="s">
        <v>39</v>
      </c>
      <c r="L9" s="2"/>
    </row>
    <row r="10" spans="1:12">
      <c r="A10" s="19" t="s">
        <v>96</v>
      </c>
      <c r="B10" s="2">
        <v>6450</v>
      </c>
      <c r="C10" s="2">
        <v>15.2</v>
      </c>
      <c r="D10" s="2">
        <f>B10*C10</f>
        <v>98040</v>
      </c>
      <c r="G10" s="19" t="s">
        <v>96</v>
      </c>
      <c r="H10" s="3">
        <v>6450</v>
      </c>
      <c r="I10" s="2">
        <v>15</v>
      </c>
      <c r="J10" s="2">
        <f>H10*I10</f>
        <v>96750</v>
      </c>
      <c r="L10" s="2">
        <f>D10-J10</f>
        <v>1290</v>
      </c>
    </row>
    <row r="11" spans="1:12">
      <c r="A11" s="19" t="s">
        <v>97</v>
      </c>
      <c r="B11" s="2">
        <v>3800</v>
      </c>
      <c r="C11" s="2">
        <v>18.5</v>
      </c>
      <c r="D11" s="2">
        <f t="shared" ref="D11:D13" si="0">B11*C11</f>
        <v>70300</v>
      </c>
      <c r="G11" s="19" t="s">
        <v>97</v>
      </c>
      <c r="H11" s="2">
        <v>3870</v>
      </c>
      <c r="I11" s="2">
        <v>18</v>
      </c>
      <c r="J11" s="2">
        <f t="shared" ref="J11:J13" si="1">H11*I11</f>
        <v>69660</v>
      </c>
      <c r="L11" s="2">
        <f t="shared" ref="L11:L14" si="2">D11-J11</f>
        <v>640</v>
      </c>
    </row>
    <row r="12" spans="1:12">
      <c r="A12" s="19" t="s">
        <v>33</v>
      </c>
      <c r="B12" s="2">
        <v>7700</v>
      </c>
      <c r="C12" s="2">
        <v>14</v>
      </c>
      <c r="D12" s="2">
        <f t="shared" si="0"/>
        <v>107800</v>
      </c>
      <c r="G12" s="19" t="s">
        <v>33</v>
      </c>
      <c r="H12" s="2">
        <v>7740</v>
      </c>
      <c r="I12" s="2">
        <v>13</v>
      </c>
      <c r="J12" s="2">
        <f t="shared" si="1"/>
        <v>100620</v>
      </c>
      <c r="L12" s="2">
        <f t="shared" si="2"/>
        <v>7180</v>
      </c>
    </row>
    <row r="13" spans="1:12">
      <c r="A13" s="19" t="s">
        <v>98</v>
      </c>
      <c r="B13" s="2">
        <v>800</v>
      </c>
      <c r="C13" s="2">
        <v>70</v>
      </c>
      <c r="D13" s="2">
        <f t="shared" si="0"/>
        <v>56000</v>
      </c>
      <c r="G13" s="19" t="s">
        <v>98</v>
      </c>
      <c r="H13" s="2">
        <v>825.6</v>
      </c>
      <c r="I13" s="2">
        <v>65</v>
      </c>
      <c r="J13" s="2">
        <f t="shared" si="1"/>
        <v>53664</v>
      </c>
      <c r="L13" s="15">
        <f t="shared" si="2"/>
        <v>2336</v>
      </c>
    </row>
    <row r="14" spans="1:12">
      <c r="A14" s="19" t="s">
        <v>38</v>
      </c>
      <c r="B14" s="2">
        <v>12900</v>
      </c>
      <c r="C14" s="2">
        <f>D14/B14</f>
        <v>25.747286821705426</v>
      </c>
      <c r="D14" s="2">
        <f>SUM(D10:D13)</f>
        <v>332140</v>
      </c>
      <c r="G14" s="19" t="s">
        <v>38</v>
      </c>
      <c r="H14" s="2">
        <v>12900</v>
      </c>
      <c r="I14" s="2">
        <f>J14/H14</f>
        <v>24.86</v>
      </c>
      <c r="J14" s="2">
        <f>SUM(J10:J13)</f>
        <v>320694</v>
      </c>
      <c r="L14" s="2">
        <f t="shared" si="2"/>
        <v>11446</v>
      </c>
    </row>
    <row r="17" spans="1:18" ht="28">
      <c r="G17" s="9" t="s">
        <v>99</v>
      </c>
    </row>
    <row r="18" spans="1:18" ht="16">
      <c r="A18" s="13" t="s">
        <v>102</v>
      </c>
      <c r="B18" s="11"/>
      <c r="C18" s="11"/>
      <c r="G18" s="10"/>
    </row>
    <row r="19" spans="1:18" ht="16">
      <c r="A19" s="11"/>
      <c r="B19" s="11"/>
      <c r="C19" s="11"/>
      <c r="G19" s="10"/>
    </row>
    <row r="20" spans="1:18">
      <c r="A20" t="s">
        <v>103</v>
      </c>
      <c r="E20" t="s">
        <v>64</v>
      </c>
      <c r="G20" s="10"/>
    </row>
    <row r="21" spans="1:18">
      <c r="A21" t="s">
        <v>96</v>
      </c>
      <c r="B21">
        <f>(C10-I10)*B10</f>
        <v>1289.9999999999955</v>
      </c>
      <c r="E21">
        <f>(B10-H10)*I10</f>
        <v>0</v>
      </c>
    </row>
    <row r="22" spans="1:18">
      <c r="A22" t="s">
        <v>97</v>
      </c>
      <c r="B22">
        <f>(C11-I11)*B11</f>
        <v>1900</v>
      </c>
      <c r="E22">
        <f>(B11-H11)*I11</f>
        <v>-1260</v>
      </c>
    </row>
    <row r="23" spans="1:18">
      <c r="A23" t="s">
        <v>33</v>
      </c>
      <c r="B23">
        <f>(C12-I12)*B12</f>
        <v>7700</v>
      </c>
      <c r="E23">
        <f>(B12-H12)*I12</f>
        <v>-520</v>
      </c>
    </row>
    <row r="25" spans="1:18" ht="16">
      <c r="A25" s="13" t="s">
        <v>101</v>
      </c>
      <c r="B25" s="11"/>
      <c r="C25" s="11"/>
    </row>
    <row r="26" spans="1:18" ht="16">
      <c r="A26" s="11"/>
      <c r="B26" s="11"/>
      <c r="C26" s="11"/>
    </row>
    <row r="27" spans="1:18">
      <c r="A27" s="4" t="s">
        <v>104</v>
      </c>
      <c r="C27">
        <f>D13-C44</f>
        <v>5120</v>
      </c>
      <c r="H27" s="4" t="s">
        <v>107</v>
      </c>
      <c r="J27">
        <f>C44-(I13*B13)</f>
        <v>-1120</v>
      </c>
      <c r="M27" s="4" t="s">
        <v>120</v>
      </c>
      <c r="O27">
        <f>(B13*I13) -(I13*H13)</f>
        <v>-1664</v>
      </c>
    </row>
    <row r="28" spans="1:18">
      <c r="A28" s="171" t="s">
        <v>105</v>
      </c>
      <c r="B28" s="171"/>
      <c r="C28" s="171"/>
      <c r="D28" s="171"/>
      <c r="G28" s="171" t="s">
        <v>118</v>
      </c>
      <c r="H28" s="171"/>
      <c r="I28" s="171"/>
      <c r="J28" s="171"/>
      <c r="M28" s="171" t="s">
        <v>121</v>
      </c>
      <c r="N28" s="171"/>
      <c r="O28" s="171"/>
      <c r="P28" s="171"/>
      <c r="Q28" s="171"/>
      <c r="R28" s="171"/>
    </row>
    <row r="29" spans="1:18">
      <c r="A29" s="171" t="s">
        <v>106</v>
      </c>
      <c r="B29" s="171"/>
      <c r="C29" s="171"/>
      <c r="D29" s="171"/>
      <c r="E29" s="171"/>
      <c r="F29" s="171"/>
      <c r="G29" s="171" t="s">
        <v>119</v>
      </c>
      <c r="H29" s="171"/>
      <c r="I29" s="171"/>
      <c r="J29" s="171"/>
      <c r="M29" s="171" t="s">
        <v>122</v>
      </c>
      <c r="N29" s="171"/>
      <c r="O29" s="171"/>
      <c r="P29" s="171"/>
      <c r="Q29" s="171"/>
    </row>
    <row r="30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M30" s="12"/>
      <c r="N30" s="12"/>
      <c r="O30" s="12"/>
      <c r="P30" s="12"/>
      <c r="Q30" s="12"/>
    </row>
    <row r="31" spans="1:18">
      <c r="A31" s="12" t="s">
        <v>69</v>
      </c>
      <c r="B31" s="16">
        <f>C27+J27+O27</f>
        <v>2336</v>
      </c>
      <c r="C31" s="12"/>
      <c r="D31" s="12"/>
      <c r="E31" s="12"/>
      <c r="F31" s="12"/>
      <c r="G31" s="12"/>
      <c r="H31" s="12"/>
      <c r="I31" s="12"/>
      <c r="J31" s="12"/>
      <c r="M31" s="12"/>
      <c r="N31" s="12"/>
      <c r="O31" s="12"/>
      <c r="P31" s="12"/>
      <c r="Q31" s="12"/>
    </row>
    <row r="32" spans="1:18">
      <c r="G32" s="171"/>
      <c r="H32" s="171"/>
      <c r="I32" s="171"/>
      <c r="J32" s="171"/>
    </row>
    <row r="33" spans="1:6">
      <c r="A33" s="4" t="s">
        <v>108</v>
      </c>
      <c r="E33" t="s">
        <v>348</v>
      </c>
      <c r="F33">
        <v>10000</v>
      </c>
    </row>
    <row r="34" spans="1:6">
      <c r="A34" t="s">
        <v>109</v>
      </c>
      <c r="B34" t="s">
        <v>110</v>
      </c>
      <c r="C34" t="s">
        <v>111</v>
      </c>
      <c r="E34" t="s">
        <v>349</v>
      </c>
      <c r="F34">
        <v>12000</v>
      </c>
    </row>
    <row r="36" spans="1:6">
      <c r="A36" t="s">
        <v>112</v>
      </c>
      <c r="B36" t="s">
        <v>113</v>
      </c>
      <c r="C36">
        <v>23040</v>
      </c>
    </row>
    <row r="37" spans="1:6">
      <c r="A37" t="s">
        <v>114</v>
      </c>
      <c r="B37" t="s">
        <v>115</v>
      </c>
      <c r="C37">
        <v>26880</v>
      </c>
    </row>
    <row r="38" spans="1:6">
      <c r="C38">
        <f>SUM(C36:C37)</f>
        <v>49920</v>
      </c>
    </row>
    <row r="40" spans="1:6">
      <c r="A40" s="4" t="s">
        <v>116</v>
      </c>
    </row>
    <row r="42" spans="1:6">
      <c r="A42" t="s">
        <v>112</v>
      </c>
      <c r="B42" t="s">
        <v>117</v>
      </c>
      <c r="C42">
        <v>24000</v>
      </c>
    </row>
    <row r="43" spans="1:6">
      <c r="A43" t="s">
        <v>114</v>
      </c>
      <c r="C43">
        <v>26880</v>
      </c>
    </row>
    <row r="44" spans="1:6">
      <c r="C44">
        <f>SUM(C42:C43)</f>
        <v>50880</v>
      </c>
    </row>
    <row r="47" spans="1:6" ht="25">
      <c r="A47" s="18" t="s">
        <v>306</v>
      </c>
    </row>
    <row r="49" spans="1:6">
      <c r="A49" s="171" t="s">
        <v>123</v>
      </c>
      <c r="B49" s="171"/>
      <c r="C49" s="171"/>
      <c r="D49" s="171"/>
      <c r="E49" s="171"/>
      <c r="F49" s="171"/>
    </row>
    <row r="50" spans="1:6">
      <c r="A50" t="s">
        <v>139</v>
      </c>
      <c r="B50">
        <v>216000</v>
      </c>
    </row>
    <row r="51" spans="1:6">
      <c r="A51" s="171" t="s">
        <v>124</v>
      </c>
      <c r="B51" s="171"/>
      <c r="C51" s="171"/>
      <c r="D51" s="171"/>
      <c r="E51" s="171"/>
    </row>
    <row r="52" spans="1:6">
      <c r="A52" s="171" t="s">
        <v>125</v>
      </c>
      <c r="B52" s="171"/>
      <c r="C52" s="171"/>
      <c r="D52" s="171"/>
    </row>
    <row r="54" spans="1:6">
      <c r="A54" s="200" t="s">
        <v>126</v>
      </c>
      <c r="B54" s="200"/>
      <c r="C54" s="200"/>
      <c r="D54" s="200"/>
      <c r="E54" s="200"/>
    </row>
    <row r="55" spans="1:6">
      <c r="A55" s="171" t="s">
        <v>127</v>
      </c>
      <c r="B55" s="171"/>
      <c r="C55" s="171"/>
      <c r="D55" s="171"/>
      <c r="E55" s="171"/>
    </row>
    <row r="56" spans="1:6">
      <c r="A56" t="s">
        <v>112</v>
      </c>
      <c r="B56" t="s">
        <v>128</v>
      </c>
      <c r="C56">
        <v>45400</v>
      </c>
    </row>
    <row r="57" spans="1:6">
      <c r="A57" t="s">
        <v>114</v>
      </c>
      <c r="B57" t="s">
        <v>129</v>
      </c>
      <c r="C57">
        <v>136200</v>
      </c>
    </row>
    <row r="58" spans="1:6">
      <c r="C58">
        <f>SUM(C56:C57)</f>
        <v>181600</v>
      </c>
    </row>
    <row r="60" spans="1:6">
      <c r="A60" s="200" t="s">
        <v>135</v>
      </c>
      <c r="B60" s="200"/>
      <c r="C60" s="200"/>
      <c r="D60" s="200"/>
      <c r="E60" s="200"/>
    </row>
    <row r="61" spans="1:6">
      <c r="A61" s="207" t="s">
        <v>136</v>
      </c>
      <c r="B61" s="207"/>
      <c r="C61" s="207"/>
      <c r="D61" s="207"/>
      <c r="E61" s="6"/>
    </row>
    <row r="63" spans="1:6">
      <c r="A63" s="200" t="s">
        <v>130</v>
      </c>
      <c r="B63" s="171"/>
      <c r="C63" s="171"/>
      <c r="D63" s="171"/>
      <c r="E63" s="171"/>
    </row>
    <row r="64" spans="1:6">
      <c r="A64" t="s">
        <v>112</v>
      </c>
      <c r="B64" t="s">
        <v>131</v>
      </c>
      <c r="C64">
        <v>50000</v>
      </c>
    </row>
    <row r="65" spans="1:8">
      <c r="A65" t="s">
        <v>114</v>
      </c>
      <c r="B65" t="s">
        <v>132</v>
      </c>
      <c r="C65">
        <v>150000</v>
      </c>
    </row>
    <row r="66" spans="1:8">
      <c r="C66">
        <f>SUM(C64:C65)</f>
        <v>200000</v>
      </c>
    </row>
    <row r="68" spans="1:8">
      <c r="A68" s="200" t="s">
        <v>133</v>
      </c>
      <c r="B68" s="171"/>
      <c r="C68" s="171"/>
      <c r="D68" s="171"/>
      <c r="E68" s="171"/>
    </row>
    <row r="69" spans="1:8">
      <c r="A69" t="s">
        <v>112</v>
      </c>
      <c r="B69" t="s">
        <v>134</v>
      </c>
      <c r="C69">
        <v>45000</v>
      </c>
    </row>
    <row r="70" spans="1:8">
      <c r="A70" t="s">
        <v>114</v>
      </c>
      <c r="C70">
        <v>150000</v>
      </c>
    </row>
    <row r="71" spans="1:8">
      <c r="C71">
        <f>SUM(C69:C70)</f>
        <v>195000</v>
      </c>
    </row>
    <row r="73" spans="1:8">
      <c r="A73" s="4" t="s">
        <v>137</v>
      </c>
      <c r="E73" s="4" t="s">
        <v>107</v>
      </c>
      <c r="H73" s="4" t="s">
        <v>138</v>
      </c>
    </row>
    <row r="74" spans="1:8">
      <c r="A74">
        <f>B50-C71</f>
        <v>21000</v>
      </c>
      <c r="E74">
        <f>C71-(100*1800)</f>
        <v>15000</v>
      </c>
      <c r="H74">
        <f>(100*1800) - (100*1816)</f>
        <v>-1600</v>
      </c>
    </row>
    <row r="77" spans="1:8">
      <c r="A77" t="s">
        <v>69</v>
      </c>
      <c r="B77" s="17">
        <f>A74+E74+H74</f>
        <v>34400</v>
      </c>
    </row>
    <row r="81" spans="1:8" ht="25">
      <c r="A81" s="18" t="s">
        <v>309</v>
      </c>
    </row>
    <row r="83" spans="1:8" ht="15">
      <c r="A83" s="135"/>
      <c r="B83" s="135" t="s">
        <v>3</v>
      </c>
      <c r="C83" s="135" t="s">
        <v>5</v>
      </c>
      <c r="D83" s="135" t="s">
        <v>39</v>
      </c>
      <c r="F83" s="135">
        <v>4500</v>
      </c>
      <c r="G83" s="135">
        <v>20000</v>
      </c>
      <c r="H83" s="135">
        <f>F83/G83</f>
        <v>0.22500000000000001</v>
      </c>
    </row>
    <row r="84" spans="1:8" ht="15">
      <c r="A84" s="135" t="s">
        <v>51</v>
      </c>
      <c r="B84" s="135">
        <v>0.4</v>
      </c>
      <c r="C84" s="135">
        <v>0.52</v>
      </c>
      <c r="D84" s="135">
        <f>B84*C84</f>
        <v>0.20800000000000002</v>
      </c>
      <c r="F84" s="135">
        <v>0.22500000000000001</v>
      </c>
      <c r="G84" s="135">
        <v>0.2</v>
      </c>
      <c r="H84" s="135">
        <f>F84/G84</f>
        <v>1.125</v>
      </c>
    </row>
    <row r="85" spans="1:8" ht="15">
      <c r="A85" s="135" t="s">
        <v>45</v>
      </c>
      <c r="B85" s="135">
        <v>0.2</v>
      </c>
      <c r="C85" s="135">
        <v>10</v>
      </c>
      <c r="D85" s="135">
        <f>B85*C85</f>
        <v>2</v>
      </c>
      <c r="F85" s="135">
        <v>1.125</v>
      </c>
      <c r="G85" s="135">
        <v>0.32</v>
      </c>
      <c r="H85" s="135">
        <f>F85*G85</f>
        <v>0.36</v>
      </c>
    </row>
    <row r="86" spans="1:8" ht="15">
      <c r="A86" s="135" t="s">
        <v>61</v>
      </c>
      <c r="B86" s="135">
        <v>0.2</v>
      </c>
      <c r="C86" s="135">
        <v>1.125</v>
      </c>
      <c r="D86" s="135">
        <f>B86*C86</f>
        <v>0.22500000000000001</v>
      </c>
      <c r="F86" s="135">
        <v>1440</v>
      </c>
      <c r="G86" s="135">
        <v>4500</v>
      </c>
      <c r="H86" s="135">
        <f>F86/G86</f>
        <v>0.32</v>
      </c>
    </row>
    <row r="87" spans="1:8" ht="15">
      <c r="A87" s="135"/>
      <c r="B87" s="135" t="s">
        <v>318</v>
      </c>
      <c r="C87" s="135">
        <v>0.36</v>
      </c>
      <c r="D87" s="135"/>
    </row>
    <row r="88" spans="1:8" ht="15">
      <c r="A88" s="135"/>
      <c r="B88" s="135" t="s">
        <v>319</v>
      </c>
      <c r="C88" s="135">
        <v>0.76500000000000001</v>
      </c>
      <c r="D88" s="135"/>
    </row>
    <row r="89" spans="1:8" ht="15">
      <c r="A89" s="135"/>
      <c r="B89" s="135">
        <v>1</v>
      </c>
      <c r="C89" s="135"/>
      <c r="D89" s="135"/>
    </row>
    <row r="92" spans="1:8">
      <c r="A92" s="4" t="s">
        <v>320</v>
      </c>
      <c r="B92" s="4"/>
      <c r="C92" s="4"/>
      <c r="D92">
        <v>46525</v>
      </c>
      <c r="E92">
        <v>2.4329999999999998</v>
      </c>
      <c r="F92">
        <v>20000</v>
      </c>
      <c r="G92">
        <f>D92-(E92*F92)</f>
        <v>-2135</v>
      </c>
    </row>
    <row r="94" spans="1:8">
      <c r="A94" s="4" t="s">
        <v>321</v>
      </c>
      <c r="B94" s="4"/>
      <c r="C94" s="4"/>
      <c r="D94">
        <v>46525</v>
      </c>
      <c r="E94">
        <v>2.4329999999999998</v>
      </c>
      <c r="F94">
        <v>17000</v>
      </c>
      <c r="G94">
        <f>D94-(E94*F94)</f>
        <v>5164</v>
      </c>
    </row>
    <row r="98" spans="1:13" ht="15">
      <c r="F98" s="135">
        <v>20000</v>
      </c>
      <c r="G98" s="135">
        <v>8000</v>
      </c>
      <c r="H98" s="135">
        <v>0.4</v>
      </c>
      <c r="J98" s="135" t="s">
        <v>51</v>
      </c>
      <c r="K98" s="135">
        <v>0.4</v>
      </c>
      <c r="L98" s="135">
        <v>0.52</v>
      </c>
      <c r="M98" s="135">
        <f>K98*L98</f>
        <v>0.20800000000000002</v>
      </c>
    </row>
    <row r="99" spans="1:13" ht="15">
      <c r="F99" s="135">
        <v>1</v>
      </c>
      <c r="G99" s="135" t="s">
        <v>322</v>
      </c>
      <c r="H99" s="135"/>
      <c r="J99" s="135" t="s">
        <v>45</v>
      </c>
      <c r="K99" s="135">
        <v>0.2</v>
      </c>
      <c r="L99" s="135">
        <v>10</v>
      </c>
      <c r="M99" s="135">
        <f>K99*L99</f>
        <v>2</v>
      </c>
    </row>
    <row r="100" spans="1:13" ht="15">
      <c r="F100" s="135"/>
      <c r="G100" s="135"/>
      <c r="H100" s="135"/>
      <c r="J100" s="135" t="s">
        <v>61</v>
      </c>
      <c r="K100" s="135">
        <v>0.2</v>
      </c>
      <c r="L100" s="135">
        <v>1.125</v>
      </c>
      <c r="M100" s="135">
        <f>K100*L100</f>
        <v>0.22500000000000001</v>
      </c>
    </row>
    <row r="101" spans="1:13" ht="15">
      <c r="F101" s="135">
        <v>4000</v>
      </c>
      <c r="G101" s="135">
        <v>20000</v>
      </c>
      <c r="H101" s="135">
        <v>0.2</v>
      </c>
      <c r="J101" s="135"/>
      <c r="K101" s="135"/>
      <c r="L101" s="135"/>
      <c r="M101" s="135">
        <f>M98+M99+M100</f>
        <v>2.4330000000000003</v>
      </c>
    </row>
    <row r="102" spans="1:13" ht="15">
      <c r="F102" s="135" t="s">
        <v>322</v>
      </c>
      <c r="G102" s="135">
        <v>1</v>
      </c>
      <c r="H102" s="135"/>
    </row>
    <row r="103" spans="1:13" ht="15">
      <c r="F103" s="135"/>
      <c r="G103" s="135"/>
      <c r="H103" s="135"/>
    </row>
    <row r="104" spans="1:13" ht="15">
      <c r="F104" s="135">
        <v>4500</v>
      </c>
      <c r="G104" s="135">
        <v>20000</v>
      </c>
      <c r="H104" s="135">
        <v>0.22500000000000001</v>
      </c>
    </row>
    <row r="105" spans="1:13" ht="15">
      <c r="F105" s="135" t="s">
        <v>322</v>
      </c>
      <c r="G105" s="135">
        <v>1</v>
      </c>
      <c r="H105" s="135"/>
    </row>
    <row r="108" spans="1:13" ht="15">
      <c r="A108" s="135"/>
      <c r="B108" s="135"/>
      <c r="C108" s="135" t="s">
        <v>323</v>
      </c>
      <c r="D108" s="135"/>
      <c r="E108" s="135"/>
      <c r="F108" s="135" t="s">
        <v>324</v>
      </c>
      <c r="G108" s="135"/>
      <c r="H108" s="135" t="s">
        <v>9</v>
      </c>
    </row>
    <row r="109" spans="1:13" ht="15">
      <c r="A109" s="135"/>
      <c r="B109" s="135" t="s">
        <v>3</v>
      </c>
      <c r="C109" s="135" t="s">
        <v>5</v>
      </c>
      <c r="D109" s="135" t="s">
        <v>39</v>
      </c>
      <c r="E109" s="135" t="s">
        <v>3</v>
      </c>
      <c r="F109" s="135" t="s">
        <v>5</v>
      </c>
      <c r="G109" s="135" t="s">
        <v>39</v>
      </c>
      <c r="H109" s="135"/>
    </row>
    <row r="110" spans="1:13" ht="15">
      <c r="A110" s="135" t="s">
        <v>51</v>
      </c>
      <c r="B110" s="135">
        <v>7500</v>
      </c>
      <c r="C110" s="135">
        <v>0.53</v>
      </c>
      <c r="D110" s="135">
        <f>B110*C110</f>
        <v>3975</v>
      </c>
      <c r="E110" s="135">
        <v>6800</v>
      </c>
      <c r="F110" s="135">
        <v>0.52</v>
      </c>
      <c r="G110" s="135">
        <f>E110*F110</f>
        <v>3536</v>
      </c>
      <c r="H110" s="157">
        <f>D110-G110</f>
        <v>439</v>
      </c>
    </row>
    <row r="111" spans="1:13" ht="15">
      <c r="A111" s="135" t="s">
        <v>45</v>
      </c>
      <c r="B111" s="135">
        <v>3500</v>
      </c>
      <c r="C111" s="135">
        <v>11</v>
      </c>
      <c r="D111" s="135">
        <f>B111*C111</f>
        <v>38500</v>
      </c>
      <c r="E111" s="135">
        <v>3400</v>
      </c>
      <c r="F111" s="135">
        <v>10</v>
      </c>
      <c r="G111" s="135">
        <f>E111*F111</f>
        <v>34000</v>
      </c>
      <c r="H111" s="155">
        <f>D111-G111</f>
        <v>4500</v>
      </c>
    </row>
    <row r="112" spans="1:13" ht="15">
      <c r="A112" s="135" t="s">
        <v>61</v>
      </c>
      <c r="B112" s="135"/>
      <c r="C112" s="135"/>
      <c r="D112" s="135">
        <v>4050</v>
      </c>
      <c r="E112" s="135">
        <v>3400</v>
      </c>
      <c r="F112" s="135">
        <v>1.125</v>
      </c>
      <c r="G112" s="135">
        <f>E112*F112</f>
        <v>3825</v>
      </c>
      <c r="H112" s="135">
        <f>D112-G112</f>
        <v>225</v>
      </c>
    </row>
    <row r="113" spans="1:12" ht="15">
      <c r="A113" s="135"/>
      <c r="B113" s="135">
        <v>17000</v>
      </c>
      <c r="C113" s="135">
        <f>D113/B113</f>
        <v>2.736764705882353</v>
      </c>
      <c r="D113" s="135">
        <f>D110+D111+D112</f>
        <v>46525</v>
      </c>
      <c r="E113" s="135">
        <v>17000</v>
      </c>
      <c r="F113" s="135">
        <f>G113/E113</f>
        <v>2.4329999999999998</v>
      </c>
      <c r="G113" s="135">
        <f>G110+G111+G112</f>
        <v>41361</v>
      </c>
      <c r="H113" s="135">
        <f>D113-G113</f>
        <v>5164</v>
      </c>
    </row>
    <row r="117" spans="1:12" ht="15">
      <c r="E117" s="158" t="s">
        <v>325</v>
      </c>
      <c r="F117">
        <f>(C111-F111)*B111</f>
        <v>3500</v>
      </c>
      <c r="G117" t="s">
        <v>234</v>
      </c>
      <c r="I117" s="158" t="s">
        <v>327</v>
      </c>
      <c r="K117">
        <f>(C110-F110)*B110</f>
        <v>75.000000000000071</v>
      </c>
      <c r="L117" t="s">
        <v>234</v>
      </c>
    </row>
    <row r="118" spans="1:12">
      <c r="F118">
        <f>(B111-E111)*F111</f>
        <v>1000</v>
      </c>
      <c r="G118" t="s">
        <v>326</v>
      </c>
      <c r="K118">
        <f>(B110-E110)*F110</f>
        <v>364</v>
      </c>
      <c r="L118" t="s">
        <v>328</v>
      </c>
    </row>
    <row r="119" spans="1:12">
      <c r="F119" s="154">
        <f>F117+F118</f>
        <v>4500</v>
      </c>
      <c r="K119" s="156">
        <f>K117+K118</f>
        <v>439.00000000000006</v>
      </c>
    </row>
    <row r="121" spans="1:12" ht="19" customHeight="1">
      <c r="E121" s="158" t="s">
        <v>329</v>
      </c>
    </row>
    <row r="122" spans="1:12">
      <c r="F122" t="s">
        <v>330</v>
      </c>
    </row>
    <row r="123" spans="1:12">
      <c r="F123" t="s">
        <v>311</v>
      </c>
      <c r="H123">
        <v>0.36</v>
      </c>
      <c r="I123">
        <v>4000</v>
      </c>
      <c r="J123">
        <f>H123*I123</f>
        <v>1440</v>
      </c>
    </row>
    <row r="124" spans="1:12">
      <c r="F124" t="s">
        <v>312</v>
      </c>
      <c r="H124">
        <v>0.76500000000000001</v>
      </c>
      <c r="I124">
        <v>4000</v>
      </c>
      <c r="J124">
        <f>H124*I124</f>
        <v>3060</v>
      </c>
    </row>
    <row r="125" spans="1:12">
      <c r="J125">
        <f>J123+J124</f>
        <v>4500</v>
      </c>
    </row>
    <row r="127" spans="1:12">
      <c r="F127" t="s">
        <v>331</v>
      </c>
    </row>
    <row r="128" spans="1:12">
      <c r="F128" t="s">
        <v>311</v>
      </c>
      <c r="H128">
        <v>0.36</v>
      </c>
      <c r="I128">
        <v>4000</v>
      </c>
      <c r="J128">
        <f>H128*I128</f>
        <v>1440</v>
      </c>
    </row>
    <row r="129" spans="1:10">
      <c r="F129" t="s">
        <v>312</v>
      </c>
      <c r="H129">
        <v>0.76500000000000001</v>
      </c>
      <c r="I129">
        <v>3500</v>
      </c>
      <c r="J129">
        <f>H129*I129</f>
        <v>2677.5</v>
      </c>
    </row>
    <row r="130" spans="1:10">
      <c r="J130">
        <f>J128+J129</f>
        <v>4117.5</v>
      </c>
    </row>
    <row r="131" spans="1:10" ht="17" customHeight="1">
      <c r="A131" t="s">
        <v>315</v>
      </c>
    </row>
    <row r="132" spans="1:10" ht="17" customHeight="1">
      <c r="C132">
        <v>4050</v>
      </c>
      <c r="D132">
        <v>4177.5</v>
      </c>
      <c r="E132">
        <f>C132-D132</f>
        <v>-127.5</v>
      </c>
      <c r="G132" t="s">
        <v>332</v>
      </c>
    </row>
    <row r="133" spans="1:10" ht="17" customHeight="1">
      <c r="A133" t="s">
        <v>316</v>
      </c>
      <c r="I133" t="s">
        <v>335</v>
      </c>
    </row>
    <row r="134" spans="1:10" ht="17" customHeight="1">
      <c r="C134">
        <v>4177.5</v>
      </c>
      <c r="D134">
        <v>3500</v>
      </c>
      <c r="E134">
        <v>1.125</v>
      </c>
      <c r="F134">
        <f>C134-(D134*E134)</f>
        <v>240</v>
      </c>
      <c r="G134" t="s">
        <v>333</v>
      </c>
    </row>
    <row r="135" spans="1:10" ht="17" customHeight="1">
      <c r="A135" t="s">
        <v>317</v>
      </c>
    </row>
    <row r="136" spans="1:10" ht="17" customHeight="1">
      <c r="C136">
        <v>3500</v>
      </c>
      <c r="D136">
        <v>1.125</v>
      </c>
      <c r="E136">
        <v>17000</v>
      </c>
      <c r="F136">
        <v>4000</v>
      </c>
      <c r="G136">
        <f>(C136*D136)-(D136*E136)*(F136/F137)</f>
        <v>112.5</v>
      </c>
      <c r="H136" t="s">
        <v>332</v>
      </c>
    </row>
    <row r="137" spans="1:10" ht="17" customHeight="1">
      <c r="F137">
        <v>20000</v>
      </c>
      <c r="J137" t="s">
        <v>334</v>
      </c>
    </row>
    <row r="138" spans="1:10">
      <c r="J138">
        <f>E132+F134+G136</f>
        <v>225</v>
      </c>
    </row>
    <row r="140" spans="1:10">
      <c r="A140" t="s">
        <v>310</v>
      </c>
    </row>
    <row r="141" spans="1:10">
      <c r="C141" t="s">
        <v>311</v>
      </c>
      <c r="D141">
        <v>5</v>
      </c>
      <c r="E141">
        <v>11960</v>
      </c>
      <c r="F141">
        <f>D141*E141</f>
        <v>59800</v>
      </c>
    </row>
    <row r="142" spans="1:10">
      <c r="C142" t="s">
        <v>312</v>
      </c>
      <c r="D142">
        <v>10</v>
      </c>
      <c r="E142">
        <v>11960</v>
      </c>
      <c r="F142">
        <f>D142*E142</f>
        <v>119600</v>
      </c>
    </row>
    <row r="143" spans="1:10">
      <c r="F143">
        <f>F141+F142</f>
        <v>179400</v>
      </c>
    </row>
    <row r="145" spans="1:8">
      <c r="A145" t="s">
        <v>313</v>
      </c>
      <c r="C145" t="s">
        <v>210</v>
      </c>
    </row>
    <row r="146" spans="1:8">
      <c r="C146" t="s">
        <v>311</v>
      </c>
      <c r="D146">
        <v>5</v>
      </c>
      <c r="E146">
        <v>11960</v>
      </c>
      <c r="F146">
        <f>D146*E146</f>
        <v>59800</v>
      </c>
    </row>
    <row r="147" spans="1:8">
      <c r="C147" t="s">
        <v>314</v>
      </c>
      <c r="D147">
        <v>10</v>
      </c>
      <c r="E147">
        <v>11330</v>
      </c>
      <c r="F147">
        <f>D147*E147</f>
        <v>113300</v>
      </c>
    </row>
    <row r="148" spans="1:8">
      <c r="F148">
        <f>F146+F147</f>
        <v>173100</v>
      </c>
    </row>
    <row r="152" spans="1:8">
      <c r="B152" t="s">
        <v>315</v>
      </c>
    </row>
    <row r="153" spans="1:8">
      <c r="E153">
        <v>65056</v>
      </c>
      <c r="F153">
        <v>29640</v>
      </c>
      <c r="G153">
        <v>77520</v>
      </c>
      <c r="H153">
        <f>E153+F153+G153</f>
        <v>172216</v>
      </c>
    </row>
    <row r="154" spans="1:8">
      <c r="H154">
        <v>173100</v>
      </c>
    </row>
    <row r="155" spans="1:8">
      <c r="H155">
        <f>H153-H154</f>
        <v>-884</v>
      </c>
    </row>
    <row r="156" spans="1:8">
      <c r="B156" t="s">
        <v>316</v>
      </c>
    </row>
    <row r="157" spans="1:8">
      <c r="H157">
        <v>173100</v>
      </c>
    </row>
    <row r="158" spans="1:8">
      <c r="F158">
        <v>11330</v>
      </c>
      <c r="G158">
        <v>15</v>
      </c>
      <c r="H158">
        <f>F158*G158</f>
        <v>169950</v>
      </c>
    </row>
    <row r="159" spans="1:8">
      <c r="H159">
        <f>H157-H158</f>
        <v>3150</v>
      </c>
    </row>
    <row r="161" spans="2:8">
      <c r="B161" t="s">
        <v>317</v>
      </c>
    </row>
    <row r="163" spans="2:8">
      <c r="F163">
        <v>11330</v>
      </c>
      <c r="G163">
        <v>15</v>
      </c>
      <c r="H163">
        <f>F163*G163</f>
        <v>169950</v>
      </c>
    </row>
  </sheetData>
  <mergeCells count="18">
    <mergeCell ref="A63:E63"/>
    <mergeCell ref="A68:E68"/>
    <mergeCell ref="A60:E60"/>
    <mergeCell ref="A61:D61"/>
    <mergeCell ref="M28:R28"/>
    <mergeCell ref="M29:Q29"/>
    <mergeCell ref="A49:F49"/>
    <mergeCell ref="A51:E51"/>
    <mergeCell ref="A28:D28"/>
    <mergeCell ref="A29:F29"/>
    <mergeCell ref="G28:J28"/>
    <mergeCell ref="G29:J29"/>
    <mergeCell ref="G32:J32"/>
    <mergeCell ref="B8:D8"/>
    <mergeCell ref="H8:J8"/>
    <mergeCell ref="A52:D52"/>
    <mergeCell ref="A54:E54"/>
    <mergeCell ref="A55:E5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workbookViewId="0">
      <selection activeCell="A52" sqref="A52:XFD52"/>
    </sheetView>
  </sheetViews>
  <sheetFormatPr baseColWidth="10" defaultRowHeight="14" x14ac:dyDescent="0"/>
  <cols>
    <col min="3" max="3" width="11.6640625" bestFit="1" customWidth="1"/>
    <col min="4" max="4" width="13.33203125" customWidth="1"/>
    <col min="5" max="5" width="14.5" customWidth="1"/>
    <col min="9" max="9" width="11.6640625" bestFit="1" customWidth="1"/>
    <col min="12" max="12" width="20.5" customWidth="1"/>
    <col min="15" max="15" width="11.6640625" bestFit="1" customWidth="1"/>
    <col min="16" max="16" width="13.83203125" customWidth="1"/>
    <col min="17" max="17" width="20.33203125" customWidth="1"/>
    <col min="18" max="18" width="15.33203125" customWidth="1"/>
  </cols>
  <sheetData>
    <row r="4" spans="1:2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 t="s">
        <v>152</v>
      </c>
      <c r="R6" s="64">
        <f>(C11*B11+C12*B12)/B13</f>
        <v>22.666666666666668</v>
      </c>
      <c r="S6" s="64">
        <f>(H13-B13)*R6</f>
        <v>16184</v>
      </c>
      <c r="T6" s="64"/>
      <c r="U6" s="64"/>
      <c r="V6" s="64"/>
    </row>
    <row r="7" spans="1:2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226" t="s">
        <v>198</v>
      </c>
      <c r="P8" s="227"/>
      <c r="Q8" s="228" t="s">
        <v>199</v>
      </c>
      <c r="R8" s="228"/>
      <c r="S8" s="64"/>
      <c r="T8" s="64"/>
      <c r="U8" s="64"/>
      <c r="V8" s="64"/>
    </row>
    <row r="9" spans="1:22">
      <c r="A9" s="69"/>
      <c r="B9" s="217" t="s">
        <v>185</v>
      </c>
      <c r="C9" s="217"/>
      <c r="D9" s="217"/>
      <c r="E9" s="218"/>
      <c r="F9" s="72"/>
      <c r="G9" s="72"/>
      <c r="H9" s="219" t="s">
        <v>65</v>
      </c>
      <c r="I9" s="219"/>
      <c r="J9" s="219"/>
      <c r="K9" s="233"/>
      <c r="L9" s="72"/>
      <c r="M9" s="72"/>
      <c r="N9" s="221" t="s">
        <v>60</v>
      </c>
      <c r="O9" s="229" t="s">
        <v>218</v>
      </c>
      <c r="P9" s="231" t="s">
        <v>219</v>
      </c>
      <c r="Q9" s="84" t="s">
        <v>194</v>
      </c>
      <c r="R9" s="84" t="s">
        <v>196</v>
      </c>
      <c r="S9" s="65" t="s">
        <v>200</v>
      </c>
      <c r="T9" s="65" t="s">
        <v>201</v>
      </c>
      <c r="U9" s="64"/>
      <c r="V9" s="64"/>
    </row>
    <row r="10" spans="1:22">
      <c r="A10" s="69"/>
      <c r="B10" s="68" t="s">
        <v>188</v>
      </c>
      <c r="C10" s="68" t="s">
        <v>66</v>
      </c>
      <c r="D10" s="68" t="s">
        <v>67</v>
      </c>
      <c r="E10" s="68" t="s">
        <v>7</v>
      </c>
      <c r="F10" s="73"/>
      <c r="G10" s="73"/>
      <c r="H10" s="68" t="s">
        <v>188</v>
      </c>
      <c r="I10" s="68" t="s">
        <v>66</v>
      </c>
      <c r="J10" s="68" t="s">
        <v>67</v>
      </c>
      <c r="K10" s="82" t="s">
        <v>7</v>
      </c>
      <c r="L10" s="73"/>
      <c r="M10" s="73"/>
      <c r="N10" s="221"/>
      <c r="O10" s="230"/>
      <c r="P10" s="232"/>
      <c r="Q10" s="68"/>
      <c r="R10" s="68"/>
      <c r="S10" s="65"/>
      <c r="T10" s="65"/>
      <c r="U10" s="64"/>
      <c r="V10" s="64"/>
    </row>
    <row r="11" spans="1:22">
      <c r="A11" s="69" t="s">
        <v>184</v>
      </c>
      <c r="B11" s="65">
        <v>1000</v>
      </c>
      <c r="C11" s="65">
        <v>32</v>
      </c>
      <c r="D11" s="65">
        <f>B11*C11</f>
        <v>32000</v>
      </c>
      <c r="E11" s="65">
        <f>B11/B13</f>
        <v>0.33333333333333331</v>
      </c>
      <c r="F11" s="74"/>
      <c r="G11" s="74"/>
      <c r="H11" s="65">
        <v>1300</v>
      </c>
      <c r="I11" s="65">
        <v>31</v>
      </c>
      <c r="J11" s="65">
        <f>H11*I11</f>
        <v>40300</v>
      </c>
      <c r="K11" s="89">
        <f>H11/H13</f>
        <v>0.35002692514808831</v>
      </c>
      <c r="L11" s="74"/>
      <c r="M11" s="86"/>
      <c r="N11" s="65">
        <f>J11-D11</f>
        <v>8300</v>
      </c>
      <c r="O11" s="85">
        <f>(H11-B11)*C11</f>
        <v>9600</v>
      </c>
      <c r="P11" s="69">
        <f>(I11-C11)*H11</f>
        <v>-1300</v>
      </c>
      <c r="Q11" s="65">
        <f>(H13-B13)*C11*E11</f>
        <v>7616</v>
      </c>
      <c r="R11" s="65">
        <f>(K11-E11)*H13*C11</f>
        <v>1984.0000000000014</v>
      </c>
      <c r="S11" s="70">
        <f>O11+P11</f>
        <v>8300</v>
      </c>
      <c r="T11" s="71">
        <f>Q11+R11</f>
        <v>9600.0000000000018</v>
      </c>
      <c r="U11" s="64"/>
      <c r="V11" s="64"/>
    </row>
    <row r="12" spans="1:22">
      <c r="A12" s="69" t="s">
        <v>190</v>
      </c>
      <c r="B12" s="65">
        <v>2000</v>
      </c>
      <c r="C12" s="65">
        <v>18</v>
      </c>
      <c r="D12" s="65">
        <f>B12*C12</f>
        <v>36000</v>
      </c>
      <c r="E12" s="65">
        <f>B12/B13</f>
        <v>0.66666666666666663</v>
      </c>
      <c r="F12" s="74"/>
      <c r="G12" s="74"/>
      <c r="H12" s="65">
        <v>2414</v>
      </c>
      <c r="I12" s="65">
        <v>16</v>
      </c>
      <c r="J12" s="65">
        <f>H12*I12</f>
        <v>38624</v>
      </c>
      <c r="K12" s="89">
        <f>H12/H13</f>
        <v>0.64997307485191169</v>
      </c>
      <c r="L12" s="74"/>
      <c r="M12" s="86"/>
      <c r="N12" s="65">
        <f>J12-D12</f>
        <v>2624</v>
      </c>
      <c r="O12" s="85">
        <f>(H12-B12)*C12</f>
        <v>7452</v>
      </c>
      <c r="P12" s="69">
        <f>(I12-C12)*H12</f>
        <v>-4828</v>
      </c>
      <c r="Q12" s="65">
        <f>(H13-B13)*C12*E12</f>
        <v>8568</v>
      </c>
      <c r="R12" s="65">
        <f>(K12-E12)*H13*C12</f>
        <v>-1115.999999999997</v>
      </c>
      <c r="S12" s="70">
        <f>O12+P12</f>
        <v>2624</v>
      </c>
      <c r="T12" s="71">
        <f>Q12+R12</f>
        <v>7452.0000000000027</v>
      </c>
      <c r="U12" s="64"/>
      <c r="V12" s="64"/>
    </row>
    <row r="13" spans="1:22">
      <c r="A13" s="69" t="s">
        <v>191</v>
      </c>
      <c r="B13" s="65">
        <f>B11+B12</f>
        <v>3000</v>
      </c>
      <c r="C13" s="65"/>
      <c r="D13" s="65">
        <f>D11+D12</f>
        <v>68000</v>
      </c>
      <c r="E13" s="65"/>
      <c r="F13" s="74"/>
      <c r="G13" s="74"/>
      <c r="H13" s="65">
        <f>H11+H12</f>
        <v>3714</v>
      </c>
      <c r="I13" s="65"/>
      <c r="J13" s="65">
        <f>J11+J12</f>
        <v>78924</v>
      </c>
      <c r="K13" s="65"/>
      <c r="L13" s="74"/>
      <c r="M13" s="74"/>
      <c r="N13" s="65">
        <f>J13-D13</f>
        <v>10924</v>
      </c>
      <c r="O13" s="85">
        <f>O11+O12</f>
        <v>17052</v>
      </c>
      <c r="P13" s="69">
        <f>P11+P12</f>
        <v>-6128</v>
      </c>
      <c r="Q13" s="70">
        <f>Q11+Q12</f>
        <v>16184</v>
      </c>
      <c r="R13" s="65">
        <f>R11+R12</f>
        <v>868.00000000000432</v>
      </c>
      <c r="S13" s="65">
        <f>O13+P13</f>
        <v>10924</v>
      </c>
      <c r="T13" s="71">
        <f>Q13+R13</f>
        <v>17052.000000000004</v>
      </c>
      <c r="U13" s="64"/>
      <c r="V13" s="64"/>
    </row>
    <row r="14" spans="1:2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>
      <c r="A15" s="64"/>
      <c r="B15" s="64"/>
      <c r="C15" s="64"/>
      <c r="D15" s="2" t="s">
        <v>152</v>
      </c>
      <c r="E15" s="65">
        <f>(C11*B11+C12*B12)/B13</f>
        <v>22.666666666666668</v>
      </c>
      <c r="F15" s="2" t="s">
        <v>217</v>
      </c>
      <c r="G15" s="70">
        <f>(H13-B13)*E15</f>
        <v>16184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>
      <c r="A16" s="64"/>
      <c r="B16" s="64"/>
      <c r="C16" s="64"/>
      <c r="D16" s="8"/>
      <c r="E16" s="74"/>
      <c r="F16" s="8"/>
      <c r="G16" s="80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>
      <c r="A17" s="64"/>
      <c r="B17" s="64"/>
      <c r="C17" s="64"/>
      <c r="D17" s="8"/>
      <c r="E17" s="74"/>
      <c r="F17" s="8"/>
      <c r="G17" s="80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>
      <c r="A18" s="64"/>
      <c r="B18" s="64"/>
      <c r="C18" s="64"/>
      <c r="D18" s="8"/>
      <c r="E18" s="74"/>
      <c r="F18" s="8"/>
      <c r="G18" s="8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>
      <c r="A19" s="64"/>
      <c r="B19" s="64"/>
      <c r="C19" s="64"/>
      <c r="D19" s="8"/>
      <c r="E19" s="74"/>
      <c r="F19" s="8"/>
      <c r="G19" s="8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>
      <c r="A20" s="64"/>
      <c r="B20" s="64"/>
      <c r="C20" s="64"/>
      <c r="D20" s="8"/>
      <c r="E20" s="74"/>
      <c r="F20" s="8"/>
      <c r="G20" s="8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5">
      <c r="A21" s="208" t="s">
        <v>221</v>
      </c>
      <c r="B21" s="208"/>
      <c r="C21" s="208"/>
      <c r="D21" s="8"/>
      <c r="E21" s="74"/>
      <c r="F21" s="8"/>
      <c r="G21" s="8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227" t="s">
        <v>198</v>
      </c>
      <c r="P22" s="227"/>
      <c r="Q22" s="228" t="s">
        <v>199</v>
      </c>
      <c r="R22" s="228"/>
      <c r="S22" s="64"/>
      <c r="T22" s="64"/>
      <c r="U22" s="64"/>
      <c r="V22" s="64"/>
    </row>
    <row r="23" spans="1:22">
      <c r="A23" s="66"/>
      <c r="B23" s="235" t="s">
        <v>185</v>
      </c>
      <c r="C23" s="236"/>
      <c r="D23" s="236"/>
      <c r="E23" s="237"/>
      <c r="F23" s="237"/>
      <c r="G23" s="238"/>
      <c r="H23" s="222" t="s">
        <v>202</v>
      </c>
      <c r="I23" s="223"/>
      <c r="J23" s="223"/>
      <c r="K23" s="224"/>
      <c r="L23" s="224"/>
      <c r="M23" s="225"/>
      <c r="N23" s="234" t="s">
        <v>60</v>
      </c>
      <c r="O23" s="229" t="s">
        <v>218</v>
      </c>
      <c r="P23" s="229" t="s">
        <v>220</v>
      </c>
      <c r="Q23" s="84" t="s">
        <v>194</v>
      </c>
      <c r="R23" s="84" t="s">
        <v>196</v>
      </c>
      <c r="S23" s="64" t="s">
        <v>200</v>
      </c>
      <c r="T23" s="64" t="s">
        <v>201</v>
      </c>
      <c r="U23" s="64"/>
      <c r="V23" s="64"/>
    </row>
    <row r="24" spans="1:22">
      <c r="A24" s="66"/>
      <c r="B24" s="67" t="s">
        <v>188</v>
      </c>
      <c r="C24" s="67" t="s">
        <v>66</v>
      </c>
      <c r="D24" s="67" t="s">
        <v>5</v>
      </c>
      <c r="E24" s="67" t="s">
        <v>85</v>
      </c>
      <c r="F24" s="67" t="s">
        <v>7</v>
      </c>
      <c r="G24" s="67" t="s">
        <v>192</v>
      </c>
      <c r="H24" s="67" t="s">
        <v>188</v>
      </c>
      <c r="I24" s="67" t="s">
        <v>66</v>
      </c>
      <c r="J24" s="67" t="s">
        <v>26</v>
      </c>
      <c r="K24" s="67" t="s">
        <v>85</v>
      </c>
      <c r="L24" s="67" t="s">
        <v>7</v>
      </c>
      <c r="M24" s="67" t="s">
        <v>192</v>
      </c>
      <c r="N24" s="234"/>
      <c r="O24" s="230"/>
      <c r="P24" s="230"/>
      <c r="Q24" s="68"/>
      <c r="R24" s="68"/>
      <c r="S24" s="64"/>
      <c r="T24" s="64"/>
      <c r="U24" s="64"/>
      <c r="V24" s="64"/>
    </row>
    <row r="25" spans="1:22">
      <c r="A25" s="66" t="s">
        <v>184</v>
      </c>
      <c r="B25" s="66">
        <v>1000</v>
      </c>
      <c r="C25" s="66">
        <v>32</v>
      </c>
      <c r="D25" s="66">
        <v>22</v>
      </c>
      <c r="E25" s="66">
        <f>C25-D25</f>
        <v>10</v>
      </c>
      <c r="F25" s="66">
        <f>B25/B27</f>
        <v>0.33333333333333331</v>
      </c>
      <c r="G25" s="66">
        <f>E25*B25</f>
        <v>10000</v>
      </c>
      <c r="H25" s="66">
        <v>1300</v>
      </c>
      <c r="I25" s="66">
        <v>31</v>
      </c>
      <c r="J25" s="66">
        <v>22</v>
      </c>
      <c r="K25" s="66">
        <f>I25-J25</f>
        <v>9</v>
      </c>
      <c r="L25" s="81">
        <f>H25/H27</f>
        <v>0.35002692514808831</v>
      </c>
      <c r="M25" s="66">
        <f>K25*H25</f>
        <v>11700</v>
      </c>
      <c r="N25" s="92">
        <f>M25-G25</f>
        <v>1700</v>
      </c>
      <c r="O25" s="66">
        <f>(H25-B25)*E25</f>
        <v>3000</v>
      </c>
      <c r="P25" s="69">
        <f>(K25-E25)*H25</f>
        <v>-1300</v>
      </c>
      <c r="Q25" s="65">
        <f>(H27-B27)*F25*E25</f>
        <v>2380</v>
      </c>
      <c r="R25" s="65">
        <f>(L25-F25)*H27*E25</f>
        <v>620.00000000000045</v>
      </c>
      <c r="S25" s="75">
        <f>O25+P25</f>
        <v>1700</v>
      </c>
      <c r="T25" s="76">
        <f>Q25+R25</f>
        <v>3000.0000000000005</v>
      </c>
      <c r="U25" s="64"/>
      <c r="V25" s="64"/>
    </row>
    <row r="26" spans="1:22">
      <c r="A26" s="66" t="s">
        <v>190</v>
      </c>
      <c r="B26" s="66">
        <v>2000</v>
      </c>
      <c r="C26" s="66">
        <v>18</v>
      </c>
      <c r="D26" s="66">
        <v>11</v>
      </c>
      <c r="E26" s="66">
        <f>C26-D26</f>
        <v>7</v>
      </c>
      <c r="F26" s="66">
        <f>B26/B27</f>
        <v>0.66666666666666663</v>
      </c>
      <c r="G26" s="66">
        <f>E26*B26</f>
        <v>14000</v>
      </c>
      <c r="H26" s="66">
        <v>2414</v>
      </c>
      <c r="I26" s="66">
        <v>16</v>
      </c>
      <c r="J26" s="66">
        <v>11</v>
      </c>
      <c r="K26" s="66">
        <f>I26-J26</f>
        <v>5</v>
      </c>
      <c r="L26" s="81">
        <f>H26/H27</f>
        <v>0.64997307485191169</v>
      </c>
      <c r="M26" s="66">
        <f>K26*H26</f>
        <v>12070</v>
      </c>
      <c r="N26" s="92">
        <f>M26-G26</f>
        <v>-1930</v>
      </c>
      <c r="O26" s="66">
        <f>(H26-B26)*E26</f>
        <v>2898</v>
      </c>
      <c r="P26" s="69">
        <f>(K26-E26)*H26</f>
        <v>-4828</v>
      </c>
      <c r="Q26" s="65">
        <f>(H27-B27)*F26*E26</f>
        <v>3332</v>
      </c>
      <c r="R26" s="65">
        <f>(L26-F26)*E26*H27</f>
        <v>-433.99999999999886</v>
      </c>
      <c r="S26" s="75">
        <f>O26+P26</f>
        <v>-1930</v>
      </c>
      <c r="T26" s="76">
        <f>Q26+R26</f>
        <v>2898.0000000000009</v>
      </c>
      <c r="U26" s="64"/>
      <c r="V26" s="64"/>
    </row>
    <row r="27" spans="1:22">
      <c r="A27" s="66" t="s">
        <v>191</v>
      </c>
      <c r="B27" s="66">
        <f>B25+B26</f>
        <v>3000</v>
      </c>
      <c r="C27" s="66"/>
      <c r="D27" s="66"/>
      <c r="E27" s="66"/>
      <c r="F27" s="66"/>
      <c r="G27" s="66">
        <f>G25+G26</f>
        <v>24000</v>
      </c>
      <c r="H27" s="66">
        <f>H25+H26</f>
        <v>3714</v>
      </c>
      <c r="I27" s="66"/>
      <c r="J27" s="66"/>
      <c r="K27" s="66"/>
      <c r="L27" s="66"/>
      <c r="M27" s="66">
        <f>M25+M26</f>
        <v>23770</v>
      </c>
      <c r="N27" s="92">
        <f>M27-G27</f>
        <v>-230</v>
      </c>
      <c r="O27" s="66">
        <f>O25+O26</f>
        <v>5898</v>
      </c>
      <c r="P27" s="69">
        <f>P25+P26</f>
        <v>-6128</v>
      </c>
      <c r="Q27" s="99">
        <f>Q25+Q26</f>
        <v>5712</v>
      </c>
      <c r="R27" s="91">
        <f>R25+R26</f>
        <v>186.00000000000159</v>
      </c>
      <c r="S27" s="90">
        <f>O27+P27</f>
        <v>-230</v>
      </c>
      <c r="T27" s="76">
        <f>Q27+R27</f>
        <v>5898.0000000000018</v>
      </c>
      <c r="U27" s="64"/>
      <c r="V27" s="64"/>
    </row>
    <row r="28" spans="1:2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80"/>
      <c r="O28" s="74"/>
      <c r="P28" s="74"/>
      <c r="Q28" s="74"/>
      <c r="R28" s="80"/>
      <c r="S28" s="90"/>
      <c r="T28" s="76"/>
      <c r="U28" s="64"/>
      <c r="V28" s="64"/>
    </row>
    <row r="29" spans="1:22">
      <c r="A29" s="74"/>
      <c r="B29" s="74"/>
      <c r="C29" s="74"/>
      <c r="D29" s="74"/>
      <c r="E29" s="74"/>
      <c r="F29" s="74"/>
      <c r="G29" s="74"/>
      <c r="H29" s="211" t="s">
        <v>65</v>
      </c>
      <c r="I29" s="212"/>
      <c r="J29" s="212"/>
      <c r="K29" s="212"/>
      <c r="L29" s="213"/>
      <c r="M29" s="74"/>
      <c r="N29" s="80"/>
      <c r="O29" s="74"/>
      <c r="P29" s="74"/>
      <c r="Q29" s="74"/>
      <c r="R29" s="80"/>
      <c r="S29" s="90"/>
      <c r="T29" s="76"/>
      <c r="U29" s="64"/>
      <c r="V29" s="64"/>
    </row>
    <row r="30" spans="1:22">
      <c r="A30" s="64"/>
      <c r="B30" s="64"/>
      <c r="C30" s="64"/>
      <c r="D30" s="64"/>
      <c r="E30" s="64"/>
      <c r="F30" s="64"/>
      <c r="G30" s="64"/>
      <c r="H30" s="2" t="s">
        <v>19</v>
      </c>
      <c r="I30" s="2" t="s">
        <v>223</v>
      </c>
      <c r="J30" s="2" t="s">
        <v>216</v>
      </c>
      <c r="K30" s="2" t="s">
        <v>22</v>
      </c>
      <c r="L30" s="2" t="s">
        <v>224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>
      <c r="A31" s="64"/>
      <c r="B31" s="64"/>
      <c r="C31" s="64"/>
      <c r="D31" t="s">
        <v>157</v>
      </c>
      <c r="E31" s="64">
        <f>(E25*B25+E26*B26)/3000</f>
        <v>8</v>
      </c>
      <c r="F31" t="s">
        <v>217</v>
      </c>
      <c r="G31" s="100">
        <f>(H27-B27)*E31</f>
        <v>5712</v>
      </c>
      <c r="H31" s="65">
        <v>1300</v>
      </c>
      <c r="I31" s="65">
        <v>31</v>
      </c>
      <c r="J31" s="65">
        <v>21</v>
      </c>
      <c r="K31" s="65">
        <f>I25-J31</f>
        <v>10</v>
      </c>
      <c r="L31" s="65">
        <f>K31*H25</f>
        <v>13000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>
      <c r="A32" s="64"/>
      <c r="B32" s="64"/>
      <c r="C32" s="64"/>
      <c r="D32" s="64"/>
      <c r="E32" s="64"/>
      <c r="F32" s="64"/>
      <c r="G32" s="64"/>
      <c r="H32" s="65">
        <v>2414</v>
      </c>
      <c r="I32" s="65">
        <v>16</v>
      </c>
      <c r="J32" s="91">
        <v>10</v>
      </c>
      <c r="K32" s="65">
        <f>I26-J32</f>
        <v>6</v>
      </c>
      <c r="L32" s="65">
        <f>K32*H26</f>
        <v>14484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5">
      <c r="A33" s="208" t="s">
        <v>222</v>
      </c>
      <c r="B33" s="208"/>
      <c r="C33" s="208"/>
      <c r="D33" s="64"/>
      <c r="E33" s="64"/>
      <c r="F33" s="64"/>
      <c r="G33" s="64"/>
      <c r="H33" s="64"/>
      <c r="I33" s="64"/>
      <c r="J33" s="80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>
      <c r="A34" s="64"/>
      <c r="B34" s="64"/>
      <c r="C34" s="64"/>
      <c r="D34" s="64"/>
      <c r="E34" s="64"/>
      <c r="F34" s="64"/>
      <c r="G34" s="64"/>
      <c r="H34" s="64"/>
      <c r="I34" s="64"/>
      <c r="J34" s="80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32.25" customHeight="1">
      <c r="A35" s="69"/>
      <c r="B35" s="217" t="s">
        <v>185</v>
      </c>
      <c r="C35" s="217"/>
      <c r="D35" s="217"/>
      <c r="E35" s="218"/>
      <c r="F35" s="72"/>
      <c r="G35" s="72"/>
      <c r="H35" s="219" t="s">
        <v>65</v>
      </c>
      <c r="I35" s="219"/>
      <c r="J35" s="219"/>
      <c r="K35" s="220"/>
      <c r="L35" s="101" t="s">
        <v>225</v>
      </c>
      <c r="M35" s="72"/>
      <c r="N35" s="221" t="s">
        <v>60</v>
      </c>
      <c r="O35" s="209" t="s">
        <v>186</v>
      </c>
      <c r="P35" s="210"/>
      <c r="Q35" s="184"/>
      <c r="R35" s="64" t="s">
        <v>187</v>
      </c>
      <c r="S35" s="64"/>
      <c r="T35" s="64"/>
      <c r="U35" s="64"/>
      <c r="V35" s="64"/>
    </row>
    <row r="36" spans="1:22">
      <c r="A36" s="66"/>
      <c r="B36" s="93" t="s">
        <v>67</v>
      </c>
      <c r="C36" s="93" t="s">
        <v>193</v>
      </c>
      <c r="D36" s="94" t="s">
        <v>192</v>
      </c>
      <c r="E36" s="95" t="s">
        <v>203</v>
      </c>
      <c r="F36" s="73"/>
      <c r="G36" s="73"/>
      <c r="H36" s="68" t="s">
        <v>67</v>
      </c>
      <c r="I36" s="68" t="s">
        <v>193</v>
      </c>
      <c r="J36" s="68" t="s">
        <v>192</v>
      </c>
      <c r="K36" s="68" t="s">
        <v>204</v>
      </c>
      <c r="L36" s="73"/>
      <c r="M36" s="73"/>
      <c r="N36" s="221"/>
      <c r="O36" s="98" t="s">
        <v>214</v>
      </c>
      <c r="P36" s="96" t="s">
        <v>7</v>
      </c>
      <c r="Q36" s="97" t="s">
        <v>215</v>
      </c>
      <c r="R36" s="73"/>
      <c r="S36" s="64"/>
      <c r="T36" s="64"/>
      <c r="U36" s="64"/>
      <c r="V36" s="64"/>
    </row>
    <row r="37" spans="1:22">
      <c r="A37" s="66" t="s">
        <v>184</v>
      </c>
      <c r="B37" s="66">
        <v>32000</v>
      </c>
      <c r="C37" s="77">
        <f>D37/B37</f>
        <v>0.3125</v>
      </c>
      <c r="D37" s="69">
        <v>10000</v>
      </c>
      <c r="E37" s="87">
        <f>B37/B39</f>
        <v>0.47058823529411764</v>
      </c>
      <c r="F37" s="74"/>
      <c r="G37" s="74"/>
      <c r="H37" s="65">
        <v>40300</v>
      </c>
      <c r="I37" s="87">
        <f>J37/H37</f>
        <v>0.32258064516129031</v>
      </c>
      <c r="J37" s="65">
        <f>(I25-J31)*H25</f>
        <v>13000</v>
      </c>
      <c r="K37" s="87">
        <f>H37/H39</f>
        <v>0.51061780953828995</v>
      </c>
      <c r="L37" s="102"/>
      <c r="M37" s="74"/>
      <c r="N37" s="65">
        <f>J37-D37</f>
        <v>3000</v>
      </c>
      <c r="O37" s="65"/>
      <c r="P37" s="65"/>
      <c r="Q37" s="65"/>
      <c r="R37" s="80">
        <f>O37+P37+Q37</f>
        <v>0</v>
      </c>
      <c r="S37" s="64"/>
      <c r="T37" s="76" t="s">
        <v>189</v>
      </c>
      <c r="U37" s="64"/>
      <c r="V37" s="64"/>
    </row>
    <row r="38" spans="1:22">
      <c r="A38" s="66" t="s">
        <v>190</v>
      </c>
      <c r="B38" s="66">
        <v>36000</v>
      </c>
      <c r="C38" s="77">
        <f>D38/B38</f>
        <v>0.3888888888888889</v>
      </c>
      <c r="D38" s="69">
        <v>14000</v>
      </c>
      <c r="E38" s="87">
        <f>B38/B39</f>
        <v>0.52941176470588236</v>
      </c>
      <c r="F38" s="74"/>
      <c r="G38" s="74"/>
      <c r="H38" s="65">
        <v>38624</v>
      </c>
      <c r="I38" s="87">
        <f>J38/H38</f>
        <v>0.375</v>
      </c>
      <c r="J38" s="65">
        <f>(I26-J32)*H26</f>
        <v>14484</v>
      </c>
      <c r="K38" s="87">
        <f>H38/H39</f>
        <v>0.48938219046171</v>
      </c>
      <c r="L38" s="102"/>
      <c r="M38" s="74"/>
      <c r="N38" s="65">
        <f>J38-D38</f>
        <v>484</v>
      </c>
      <c r="O38" s="65"/>
      <c r="P38" s="65"/>
      <c r="Q38" s="65"/>
      <c r="R38" s="74"/>
      <c r="S38" s="64"/>
      <c r="T38" s="76"/>
      <c r="U38" s="64"/>
      <c r="V38" s="64"/>
    </row>
    <row r="39" spans="1:22">
      <c r="A39" s="66" t="s">
        <v>191</v>
      </c>
      <c r="B39" s="66">
        <f>B37+B38</f>
        <v>68000</v>
      </c>
      <c r="C39" s="78">
        <f>D39/B39</f>
        <v>0.35294117647058826</v>
      </c>
      <c r="D39" s="69">
        <f>D37+D38</f>
        <v>24000</v>
      </c>
      <c r="E39" s="65"/>
      <c r="F39" s="74"/>
      <c r="G39" s="74"/>
      <c r="H39" s="65">
        <f>H37+H38</f>
        <v>78924</v>
      </c>
      <c r="I39" s="88">
        <f>J39/H39</f>
        <v>0.34823374385484768</v>
      </c>
      <c r="J39" s="65">
        <f>J37+J38</f>
        <v>27484</v>
      </c>
      <c r="K39" s="65"/>
      <c r="L39" s="102">
        <f>K37*C37+K38*C38</f>
        <v>0.34988336177138063</v>
      </c>
      <c r="M39" s="74"/>
      <c r="N39" s="70">
        <f>J39-D39</f>
        <v>3484</v>
      </c>
      <c r="O39" s="2">
        <f>(I39-L39)*H39</f>
        <v>-130.19444444444676</v>
      </c>
      <c r="P39" s="65">
        <f>(L39-C39)*H39</f>
        <v>-241.33496732026285</v>
      </c>
      <c r="Q39" s="65">
        <f>(H39-B39)*C39</f>
        <v>3855.5294117647063</v>
      </c>
      <c r="R39" s="90">
        <f>O39+P39+Q39</f>
        <v>3483.9999999999968</v>
      </c>
      <c r="S39" s="64"/>
      <c r="T39" s="76" t="s">
        <v>189</v>
      </c>
      <c r="U39" s="64"/>
      <c r="V39" s="64"/>
    </row>
    <row r="40" spans="1:2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R40" s="79"/>
      <c r="S40" s="64"/>
      <c r="T40" s="64"/>
      <c r="U40" s="64"/>
      <c r="V40" s="64"/>
    </row>
    <row r="41" spans="1:22">
      <c r="A41" s="64"/>
      <c r="B41" s="64"/>
      <c r="C41" s="64"/>
      <c r="D41" s="64"/>
      <c r="E41" s="79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R41" s="79"/>
      <c r="S41" s="64"/>
      <c r="T41" s="64"/>
      <c r="U41" s="64"/>
      <c r="V41" s="64"/>
    </row>
    <row r="42" spans="1:2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R42" s="79"/>
      <c r="S42" s="64"/>
      <c r="T42" s="64"/>
      <c r="U42" s="64"/>
      <c r="V42" s="64"/>
    </row>
    <row r="43" spans="1:2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R43" s="79"/>
      <c r="S43" s="64"/>
      <c r="T43" s="64"/>
      <c r="U43" s="64"/>
      <c r="V43" s="64"/>
    </row>
    <row r="44" spans="1:2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R44" s="79"/>
      <c r="S44" s="64"/>
      <c r="T44" s="64"/>
      <c r="U44" s="64"/>
      <c r="V44" s="64"/>
    </row>
    <row r="45" spans="1:2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R45" s="79"/>
      <c r="S45" s="64"/>
      <c r="T45" s="64"/>
      <c r="U45" s="64"/>
      <c r="V45" s="64"/>
    </row>
    <row r="46" spans="1:2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R46" s="79"/>
      <c r="S46" s="64"/>
      <c r="T46" s="64"/>
      <c r="U46" s="64"/>
      <c r="V46" s="64"/>
    </row>
    <row r="47" spans="1:2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R47" s="64"/>
      <c r="S47" s="64"/>
      <c r="T47" s="64"/>
      <c r="U47" s="64"/>
      <c r="V47" s="64"/>
    </row>
    <row r="48" spans="1:22">
      <c r="A48" s="65"/>
      <c r="B48" s="214" t="s">
        <v>205</v>
      </c>
      <c r="C48" s="215"/>
      <c r="D48" s="216"/>
      <c r="E48" s="64"/>
      <c r="F48" s="192" t="s">
        <v>14</v>
      </c>
      <c r="G48" s="193"/>
      <c r="H48" s="194"/>
      <c r="I48" s="2" t="s">
        <v>68</v>
      </c>
      <c r="J48" s="172" t="s">
        <v>54</v>
      </c>
      <c r="K48" s="173"/>
      <c r="L48" s="174"/>
      <c r="M48" s="64"/>
      <c r="N48" s="2" t="s">
        <v>56</v>
      </c>
      <c r="O48" s="2" t="s">
        <v>209</v>
      </c>
      <c r="P48" s="2" t="s">
        <v>195</v>
      </c>
      <c r="Q48" s="27" t="s">
        <v>197</v>
      </c>
      <c r="R48" s="64"/>
      <c r="S48" s="64"/>
      <c r="T48" s="64"/>
      <c r="U48" s="64"/>
      <c r="V48" s="64"/>
    </row>
    <row r="49" spans="1:20" ht="18">
      <c r="A49" s="65"/>
      <c r="B49" s="2" t="s">
        <v>3</v>
      </c>
      <c r="C49" s="2" t="s">
        <v>5</v>
      </c>
      <c r="D49" s="2" t="s">
        <v>206</v>
      </c>
      <c r="E49" s="62"/>
      <c r="F49" s="2" t="s">
        <v>3</v>
      </c>
      <c r="G49" s="2" t="s">
        <v>5</v>
      </c>
      <c r="H49" s="2" t="s">
        <v>206</v>
      </c>
      <c r="I49" s="63"/>
      <c r="J49" s="2" t="s">
        <v>3</v>
      </c>
      <c r="K49" s="2" t="s">
        <v>5</v>
      </c>
      <c r="L49" s="2" t="s">
        <v>206</v>
      </c>
      <c r="M49" s="62"/>
      <c r="N49" s="63"/>
      <c r="O49" s="63"/>
      <c r="P49" s="63"/>
      <c r="Q49" s="63"/>
      <c r="R49" s="62"/>
      <c r="S49" s="62"/>
      <c r="T49" s="62"/>
    </row>
    <row r="50" spans="1:20">
      <c r="A50" s="2" t="s">
        <v>51</v>
      </c>
      <c r="B50" s="2">
        <v>4000</v>
      </c>
      <c r="C50" s="2">
        <v>1.5</v>
      </c>
      <c r="D50" s="2">
        <f>B50*C50</f>
        <v>6000</v>
      </c>
      <c r="F50" s="2">
        <v>4100</v>
      </c>
      <c r="G50" s="2">
        <v>1.45</v>
      </c>
      <c r="H50" s="2">
        <f>F50*G50</f>
        <v>5945</v>
      </c>
      <c r="I50" s="2">
        <f>H50-D50</f>
        <v>-55</v>
      </c>
      <c r="J50" s="2">
        <v>4200</v>
      </c>
      <c r="K50" s="2">
        <v>1.5</v>
      </c>
      <c r="L50" s="2">
        <f>J50*K50</f>
        <v>6300</v>
      </c>
      <c r="N50" s="2">
        <f>H50-L50</f>
        <v>-355</v>
      </c>
      <c r="O50" s="2">
        <f>(G50-K50)*F50</f>
        <v>-205.00000000000017</v>
      </c>
      <c r="P50" s="2">
        <f>(F50-J50)*K50</f>
        <v>-150</v>
      </c>
      <c r="Q50" s="2">
        <f>O50+P50</f>
        <v>-355.00000000000017</v>
      </c>
    </row>
    <row r="51" spans="1:20">
      <c r="A51" s="2" t="s">
        <v>45</v>
      </c>
      <c r="B51" s="2">
        <v>500</v>
      </c>
      <c r="C51" s="2">
        <v>16</v>
      </c>
      <c r="D51" s="2">
        <f>B51*C51</f>
        <v>8000</v>
      </c>
      <c r="F51" s="2">
        <v>500</v>
      </c>
      <c r="G51" s="2">
        <v>16.2</v>
      </c>
      <c r="H51" s="2">
        <f>F51*G51</f>
        <v>8100</v>
      </c>
      <c r="I51" s="2">
        <f t="shared" ref="I51:I53" si="0">H51-D51</f>
        <v>100</v>
      </c>
      <c r="J51" s="2">
        <f>2100*0.25</f>
        <v>525</v>
      </c>
      <c r="K51" s="2">
        <v>16</v>
      </c>
      <c r="L51" s="2">
        <f t="shared" ref="L51:L52" si="1">J51*K51</f>
        <v>8400</v>
      </c>
      <c r="N51" s="2">
        <f>H51-L51</f>
        <v>-300</v>
      </c>
      <c r="O51" s="2">
        <f>(G51-K51)*F51</f>
        <v>99.999999999999645</v>
      </c>
      <c r="P51" s="2">
        <f>(F51-J51)*K51</f>
        <v>-400</v>
      </c>
      <c r="Q51" s="2">
        <f>O51+P51</f>
        <v>-300.00000000000034</v>
      </c>
    </row>
    <row r="52" spans="1:20">
      <c r="A52" s="2" t="s">
        <v>61</v>
      </c>
      <c r="B52" s="2">
        <v>50000</v>
      </c>
      <c r="C52" s="2">
        <v>1</v>
      </c>
      <c r="D52" s="2">
        <f>B52*C52</f>
        <v>50000</v>
      </c>
      <c r="F52" s="2">
        <v>60000</v>
      </c>
      <c r="G52" s="2">
        <v>0.95</v>
      </c>
      <c r="H52" s="2">
        <f>F52*G52</f>
        <v>57000</v>
      </c>
      <c r="I52" s="2">
        <f t="shared" si="0"/>
        <v>7000</v>
      </c>
      <c r="J52" s="2">
        <f>(F52*F53)/A53</f>
        <v>63000</v>
      </c>
      <c r="K52" s="2">
        <v>1</v>
      </c>
      <c r="L52" s="2">
        <f t="shared" si="1"/>
        <v>63000</v>
      </c>
      <c r="N52" s="61">
        <f>H52-L52</f>
        <v>-6000</v>
      </c>
      <c r="O52" s="2">
        <f>(G52-K52)*F52</f>
        <v>-3000.0000000000027</v>
      </c>
      <c r="P52" s="2">
        <f>(F52-J52)*K52</f>
        <v>-3000</v>
      </c>
      <c r="Q52" s="61">
        <f>O52+P52</f>
        <v>-6000.0000000000027</v>
      </c>
    </row>
    <row r="53" spans="1:20">
      <c r="A53" s="2">
        <v>2000</v>
      </c>
      <c r="B53" s="2"/>
      <c r="C53" s="2">
        <f>D53/A53</f>
        <v>32</v>
      </c>
      <c r="D53" s="2">
        <f>SUM(D50:D52)</f>
        <v>64000</v>
      </c>
      <c r="F53" s="2">
        <v>2100</v>
      </c>
      <c r="G53" s="2">
        <f>H53/F53</f>
        <v>33.830952380952382</v>
      </c>
      <c r="H53" s="2">
        <f>SUM(H50:H52)</f>
        <v>71045</v>
      </c>
      <c r="I53" s="3">
        <f t="shared" si="0"/>
        <v>7045</v>
      </c>
      <c r="J53" s="2">
        <v>2100</v>
      </c>
      <c r="K53" s="2">
        <f>L53/J53</f>
        <v>37</v>
      </c>
      <c r="L53" s="2">
        <f>SUM(L50:L52)</f>
        <v>77700</v>
      </c>
      <c r="N53" s="83">
        <f>H53-L53</f>
        <v>-6655</v>
      </c>
      <c r="O53" s="2">
        <f>O50+O51+O52</f>
        <v>-3105.0000000000032</v>
      </c>
      <c r="P53" s="2">
        <f>P50+P51+P52</f>
        <v>-3550</v>
      </c>
      <c r="Q53" s="83">
        <f>O53+P53</f>
        <v>-6655.0000000000036</v>
      </c>
    </row>
    <row r="54" spans="1:20">
      <c r="P54" s="35"/>
    </row>
    <row r="56" spans="1:20">
      <c r="B56">
        <f>(50000*2100)/2000</f>
        <v>52500</v>
      </c>
      <c r="G56" t="s">
        <v>207</v>
      </c>
      <c r="H56">
        <f>(F53-A53)*C53</f>
        <v>3200</v>
      </c>
    </row>
    <row r="57" spans="1:20">
      <c r="G57" t="s">
        <v>208</v>
      </c>
      <c r="H57" s="46">
        <f>(G53-C53)*F53</f>
        <v>3845.0000000000032</v>
      </c>
      <c r="M57" s="2" t="s">
        <v>210</v>
      </c>
      <c r="N57" s="2" t="s">
        <v>112</v>
      </c>
      <c r="O57" s="2">
        <f>2/5*60000</f>
        <v>24000</v>
      </c>
    </row>
    <row r="58" spans="1:20">
      <c r="H58" s="1">
        <f>SUM(H56:H57)</f>
        <v>7045.0000000000036</v>
      </c>
      <c r="M58" s="2"/>
      <c r="N58" s="2" t="s">
        <v>114</v>
      </c>
      <c r="O58" s="2">
        <v>30000</v>
      </c>
    </row>
    <row r="59" spans="1:20">
      <c r="M59" s="2"/>
      <c r="N59" s="2" t="s">
        <v>191</v>
      </c>
      <c r="O59" s="2">
        <f>O57+O58</f>
        <v>54000</v>
      </c>
    </row>
    <row r="61" spans="1:20">
      <c r="M61" s="2" t="s">
        <v>211</v>
      </c>
      <c r="N61" s="2"/>
      <c r="O61" s="2">
        <f>H52-O59</f>
        <v>3000</v>
      </c>
      <c r="P61">
        <f>O59-D52</f>
        <v>4000</v>
      </c>
    </row>
    <row r="62" spans="1:20">
      <c r="M62" s="2"/>
      <c r="N62" s="2"/>
      <c r="O62" s="2"/>
    </row>
    <row r="63" spans="1:20">
      <c r="M63" s="2" t="s">
        <v>107</v>
      </c>
      <c r="N63" s="2"/>
      <c r="O63" s="2">
        <f>O59-N65</f>
        <v>-6000</v>
      </c>
      <c r="P63">
        <f>O59-L52</f>
        <v>-9000</v>
      </c>
    </row>
    <row r="64" spans="1:20">
      <c r="M64" s="2"/>
      <c r="N64" s="2"/>
      <c r="O64" s="2"/>
    </row>
    <row r="65" spans="13:15">
      <c r="M65" s="2" t="s">
        <v>212</v>
      </c>
      <c r="N65" s="2">
        <f>60000*1</f>
        <v>60000</v>
      </c>
      <c r="O65" s="2"/>
    </row>
    <row r="66" spans="13:15">
      <c r="M66" s="2"/>
      <c r="N66" s="2"/>
      <c r="O66" s="2"/>
    </row>
    <row r="67" spans="13:15">
      <c r="M67" s="2" t="s">
        <v>213</v>
      </c>
      <c r="N67" s="2"/>
      <c r="O67" s="2">
        <f>N65-L52</f>
        <v>-3000</v>
      </c>
    </row>
    <row r="68" spans="13:15">
      <c r="M68" s="2"/>
      <c r="N68" s="2"/>
      <c r="O68" s="2"/>
    </row>
    <row r="69" spans="13:15">
      <c r="M69" s="2"/>
      <c r="N69" s="2"/>
      <c r="O69" s="2"/>
    </row>
    <row r="70" spans="13:15">
      <c r="M70" s="2" t="s">
        <v>8</v>
      </c>
      <c r="N70" s="2"/>
      <c r="O70" s="61">
        <f>O61+O63+O67</f>
        <v>-6000</v>
      </c>
    </row>
  </sheetData>
  <mergeCells count="24">
    <mergeCell ref="H23:M23"/>
    <mergeCell ref="O8:P8"/>
    <mergeCell ref="Q8:R8"/>
    <mergeCell ref="B9:E9"/>
    <mergeCell ref="O9:O10"/>
    <mergeCell ref="P9:P10"/>
    <mergeCell ref="H9:K9"/>
    <mergeCell ref="N9:N10"/>
    <mergeCell ref="A21:C21"/>
    <mergeCell ref="O22:P22"/>
    <mergeCell ref="Q22:R22"/>
    <mergeCell ref="O23:O24"/>
    <mergeCell ref="P23:P24"/>
    <mergeCell ref="N23:N24"/>
    <mergeCell ref="B23:G23"/>
    <mergeCell ref="A33:C33"/>
    <mergeCell ref="O35:Q35"/>
    <mergeCell ref="H29:L29"/>
    <mergeCell ref="B48:D48"/>
    <mergeCell ref="F48:H48"/>
    <mergeCell ref="J48:L48"/>
    <mergeCell ref="B35:E35"/>
    <mergeCell ref="H35:K35"/>
    <mergeCell ref="N35:N36"/>
  </mergeCells>
  <conditionalFormatting sqref="T11:T13 T25:T29 T37:T39">
    <cfRule type="cellIs" dxfId="3" priority="8" stopIfTrue="1" operator="equal">
      <formula>"erreur"</formula>
    </cfRule>
  </conditionalFormatting>
  <conditionalFormatting sqref="T11:T13 T25:T29 T37:T39">
    <cfRule type="cellIs" dxfId="2" priority="7" stopIfTrue="1" operator="equal">
      <formula>"OK"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0"/>
  <sheetViews>
    <sheetView topLeftCell="A31" workbookViewId="0">
      <selection sqref="A1:XFD71"/>
    </sheetView>
  </sheetViews>
  <sheetFormatPr baseColWidth="10" defaultRowHeight="14" x14ac:dyDescent="0"/>
  <cols>
    <col min="12" max="12" width="14.5" customWidth="1"/>
  </cols>
  <sheetData>
    <row r="4" spans="1:2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 t="s">
        <v>152</v>
      </c>
      <c r="R6" s="64">
        <f>(C11*B11+C12*B12)/B13</f>
        <v>25.979591836734695</v>
      </c>
      <c r="S6" s="64">
        <f>(H13-B13)*R6</f>
        <v>-2597.9591836734694</v>
      </c>
      <c r="T6" s="64"/>
      <c r="U6" s="64"/>
      <c r="V6" s="64"/>
    </row>
    <row r="7" spans="1:2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226" t="s">
        <v>198</v>
      </c>
      <c r="P8" s="227"/>
      <c r="Q8" s="228" t="s">
        <v>199</v>
      </c>
      <c r="R8" s="228"/>
      <c r="S8" s="64"/>
      <c r="T8" s="64"/>
      <c r="U8" s="64"/>
      <c r="V8" s="64"/>
    </row>
    <row r="9" spans="1:22">
      <c r="A9" s="69"/>
      <c r="B9" s="217" t="s">
        <v>185</v>
      </c>
      <c r="C9" s="217"/>
      <c r="D9" s="217"/>
      <c r="E9" s="218"/>
      <c r="F9" s="72"/>
      <c r="G9" s="72"/>
      <c r="H9" s="219" t="s">
        <v>65</v>
      </c>
      <c r="I9" s="219"/>
      <c r="J9" s="219"/>
      <c r="K9" s="233"/>
      <c r="L9" s="72"/>
      <c r="M9" s="72"/>
      <c r="N9" s="221" t="s">
        <v>60</v>
      </c>
      <c r="O9" s="229" t="s">
        <v>218</v>
      </c>
      <c r="P9" s="231" t="s">
        <v>219</v>
      </c>
      <c r="Q9" s="84" t="s">
        <v>194</v>
      </c>
      <c r="R9" s="84" t="s">
        <v>196</v>
      </c>
      <c r="S9" s="2" t="s">
        <v>226</v>
      </c>
      <c r="T9" s="65" t="s">
        <v>201</v>
      </c>
      <c r="U9" s="64"/>
      <c r="V9" s="64"/>
    </row>
    <row r="10" spans="1:22">
      <c r="A10" s="69"/>
      <c r="B10" s="68" t="s">
        <v>188</v>
      </c>
      <c r="C10" s="68" t="s">
        <v>66</v>
      </c>
      <c r="D10" s="68" t="s">
        <v>67</v>
      </c>
      <c r="E10" s="68" t="s">
        <v>7</v>
      </c>
      <c r="F10" s="73"/>
      <c r="G10" s="73"/>
      <c r="H10" s="68" t="s">
        <v>188</v>
      </c>
      <c r="I10" s="68" t="s">
        <v>66</v>
      </c>
      <c r="J10" s="68" t="s">
        <v>67</v>
      </c>
      <c r="K10" s="82" t="s">
        <v>7</v>
      </c>
      <c r="L10" s="73"/>
      <c r="M10" s="73"/>
      <c r="N10" s="221"/>
      <c r="O10" s="230"/>
      <c r="P10" s="232"/>
      <c r="Q10" s="68"/>
      <c r="R10" s="68"/>
      <c r="S10" s="65"/>
      <c r="T10" s="65"/>
      <c r="U10" s="64"/>
      <c r="V10" s="64"/>
    </row>
    <row r="11" spans="1:22">
      <c r="A11" s="69" t="s">
        <v>184</v>
      </c>
      <c r="B11" s="65">
        <v>1500</v>
      </c>
      <c r="C11" s="65">
        <v>35</v>
      </c>
      <c r="D11" s="65">
        <f>B11*C11</f>
        <v>52500</v>
      </c>
      <c r="E11" s="65">
        <f>B11/B13</f>
        <v>0.30612244897959184</v>
      </c>
      <c r="F11" s="74"/>
      <c r="G11" s="74"/>
      <c r="H11" s="65">
        <v>1600</v>
      </c>
      <c r="I11" s="65">
        <v>32</v>
      </c>
      <c r="J11" s="65">
        <f>H11*I11</f>
        <v>51200</v>
      </c>
      <c r="K11" s="89">
        <f>H11/H13</f>
        <v>0.33333333333333331</v>
      </c>
      <c r="L11" s="74"/>
      <c r="M11" s="86"/>
      <c r="N11" s="70">
        <f>J11-D11</f>
        <v>-1300</v>
      </c>
      <c r="O11" s="85">
        <f>(H11-B11)*C11</f>
        <v>3500</v>
      </c>
      <c r="P11" s="69">
        <f>(I11-C11)*H11</f>
        <v>-4800</v>
      </c>
      <c r="Q11" s="65">
        <f>(H13-B13)*C11*E11</f>
        <v>-1071.4285714285716</v>
      </c>
      <c r="R11" s="65">
        <f>(K11-E11)*H13*C11</f>
        <v>4571.4285714285679</v>
      </c>
      <c r="S11" s="70">
        <f>O11+P11</f>
        <v>-1300</v>
      </c>
      <c r="T11" s="71">
        <f>Q11+R11</f>
        <v>3499.9999999999964</v>
      </c>
      <c r="U11" s="64"/>
      <c r="V11" s="64"/>
    </row>
    <row r="12" spans="1:22">
      <c r="A12" s="69" t="s">
        <v>190</v>
      </c>
      <c r="B12" s="65">
        <v>3400</v>
      </c>
      <c r="C12" s="65">
        <v>22</v>
      </c>
      <c r="D12" s="65">
        <f>B12*C12</f>
        <v>74800</v>
      </c>
      <c r="E12" s="65">
        <f>B12/B13</f>
        <v>0.69387755102040816</v>
      </c>
      <c r="F12" s="74"/>
      <c r="G12" s="74"/>
      <c r="H12" s="65">
        <v>3200</v>
      </c>
      <c r="I12" s="65">
        <v>19</v>
      </c>
      <c r="J12" s="65">
        <f>H12*I12</f>
        <v>60800</v>
      </c>
      <c r="K12" s="89">
        <f>H12/H13</f>
        <v>0.66666666666666663</v>
      </c>
      <c r="L12" s="74"/>
      <c r="M12" s="86"/>
      <c r="N12" s="70">
        <f>J12-D12</f>
        <v>-14000</v>
      </c>
      <c r="O12" s="85">
        <f>(H12-B12)*C12</f>
        <v>-4400</v>
      </c>
      <c r="P12" s="69">
        <f>(I12-C12)*H12</f>
        <v>-9600</v>
      </c>
      <c r="Q12" s="65">
        <f>(H13-B13)*C12*E12</f>
        <v>-1526.5306122448978</v>
      </c>
      <c r="R12" s="65">
        <f>(K12-E12)*H13*C12</f>
        <v>-2873.4693877551053</v>
      </c>
      <c r="S12" s="70">
        <f>O12+P12</f>
        <v>-14000</v>
      </c>
      <c r="T12" s="71">
        <f>Q12+R12</f>
        <v>-4400.0000000000036</v>
      </c>
      <c r="U12" s="64"/>
      <c r="V12" s="64"/>
    </row>
    <row r="13" spans="1:22">
      <c r="A13" s="69" t="s">
        <v>191</v>
      </c>
      <c r="B13" s="65">
        <f>B11+B12</f>
        <v>4900</v>
      </c>
      <c r="C13" s="65"/>
      <c r="D13" s="65">
        <f>D11+D12</f>
        <v>127300</v>
      </c>
      <c r="E13" s="65"/>
      <c r="F13" s="74"/>
      <c r="G13" s="74"/>
      <c r="H13" s="65">
        <f>H11+H12</f>
        <v>4800</v>
      </c>
      <c r="I13" s="65"/>
      <c r="J13" s="65">
        <f>J11+J12</f>
        <v>112000</v>
      </c>
      <c r="K13" s="65"/>
      <c r="L13" s="74"/>
      <c r="M13" s="74"/>
      <c r="N13" s="65">
        <f>J13-D13</f>
        <v>-15300</v>
      </c>
      <c r="O13" s="85">
        <f>O11+O12</f>
        <v>-900</v>
      </c>
      <c r="P13" s="69">
        <f>P11+P12</f>
        <v>-14400</v>
      </c>
      <c r="Q13" s="70">
        <f>Q11+Q12</f>
        <v>-2597.9591836734694</v>
      </c>
      <c r="R13" s="65">
        <f>R11+R12</f>
        <v>1697.9591836734626</v>
      </c>
      <c r="S13" s="65">
        <f>O13+P13</f>
        <v>-15300</v>
      </c>
      <c r="T13" s="71">
        <f>Q13+R13</f>
        <v>-900.00000000000682</v>
      </c>
      <c r="U13" s="64"/>
      <c r="V13" s="64"/>
    </row>
    <row r="14" spans="1:2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>
      <c r="A15" s="64"/>
      <c r="B15" s="64"/>
      <c r="C15" s="64"/>
      <c r="D15" s="2" t="s">
        <v>152</v>
      </c>
      <c r="E15" s="65">
        <f>(C11*B11+C12*B12)/B13</f>
        <v>25.979591836734695</v>
      </c>
      <c r="F15" s="2" t="s">
        <v>217</v>
      </c>
      <c r="G15" s="70">
        <f>(H13-B13)*E15</f>
        <v>-2597.9591836734694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>
      <c r="A16" s="64"/>
      <c r="B16" s="64"/>
      <c r="C16" s="64"/>
      <c r="D16" s="8"/>
      <c r="E16" s="74"/>
      <c r="F16" s="8"/>
      <c r="G16" s="80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>
      <c r="A17" s="64"/>
      <c r="B17" s="64"/>
      <c r="C17" s="64"/>
      <c r="D17" s="8"/>
      <c r="E17" s="74"/>
      <c r="F17" s="8"/>
      <c r="G17" s="80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>
      <c r="A18" s="64"/>
      <c r="B18" s="64"/>
      <c r="C18" s="64"/>
      <c r="D18" s="8"/>
      <c r="E18" s="74"/>
      <c r="F18" s="8"/>
      <c r="G18" s="8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>
      <c r="A19" s="64"/>
      <c r="B19" s="64"/>
      <c r="C19" s="64"/>
      <c r="D19" s="8"/>
      <c r="E19" s="74"/>
      <c r="F19" s="8"/>
      <c r="G19" s="8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>
      <c r="A20" s="64"/>
      <c r="B20" s="64"/>
      <c r="C20" s="64"/>
      <c r="D20" s="8"/>
      <c r="E20" s="74"/>
      <c r="F20" s="8"/>
      <c r="G20" s="8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5">
      <c r="A21" s="208" t="s">
        <v>221</v>
      </c>
      <c r="B21" s="208"/>
      <c r="C21" s="208"/>
      <c r="D21" s="8"/>
      <c r="E21" s="74"/>
      <c r="F21" s="8"/>
      <c r="G21" s="8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227" t="s">
        <v>198</v>
      </c>
      <c r="P22" s="227"/>
      <c r="Q22" s="228" t="s">
        <v>199</v>
      </c>
      <c r="R22" s="228"/>
      <c r="S22" s="64"/>
      <c r="T22" s="64"/>
      <c r="U22" s="64"/>
      <c r="V22" s="64"/>
    </row>
    <row r="23" spans="1:22">
      <c r="A23" s="66"/>
      <c r="B23" s="235" t="s">
        <v>185</v>
      </c>
      <c r="C23" s="236"/>
      <c r="D23" s="236"/>
      <c r="E23" s="237"/>
      <c r="F23" s="237"/>
      <c r="G23" s="238"/>
      <c r="H23" s="222" t="s">
        <v>202</v>
      </c>
      <c r="I23" s="223"/>
      <c r="J23" s="223"/>
      <c r="K23" s="224"/>
      <c r="L23" s="224"/>
      <c r="M23" s="225"/>
      <c r="N23" s="234" t="s">
        <v>60</v>
      </c>
      <c r="O23" s="229" t="s">
        <v>218</v>
      </c>
      <c r="P23" s="229" t="s">
        <v>220</v>
      </c>
      <c r="Q23" s="84" t="s">
        <v>194</v>
      </c>
      <c r="R23" s="84" t="s">
        <v>196</v>
      </c>
      <c r="S23" t="s">
        <v>226</v>
      </c>
      <c r="T23" s="64" t="s">
        <v>201</v>
      </c>
      <c r="U23" s="64"/>
      <c r="V23" s="64"/>
    </row>
    <row r="24" spans="1:22">
      <c r="A24" s="66"/>
      <c r="B24" s="67" t="s">
        <v>188</v>
      </c>
      <c r="C24" s="67" t="s">
        <v>66</v>
      </c>
      <c r="D24" s="67" t="s">
        <v>5</v>
      </c>
      <c r="E24" s="67" t="s">
        <v>85</v>
      </c>
      <c r="F24" s="67" t="s">
        <v>7</v>
      </c>
      <c r="G24" s="67" t="s">
        <v>192</v>
      </c>
      <c r="H24" s="67" t="s">
        <v>188</v>
      </c>
      <c r="I24" s="67" t="s">
        <v>66</v>
      </c>
      <c r="J24" s="67" t="s">
        <v>26</v>
      </c>
      <c r="K24" s="67" t="s">
        <v>85</v>
      </c>
      <c r="L24" s="67" t="s">
        <v>7</v>
      </c>
      <c r="M24" s="67" t="s">
        <v>192</v>
      </c>
      <c r="N24" s="234"/>
      <c r="O24" s="230"/>
      <c r="P24" s="230"/>
      <c r="Q24" s="68"/>
      <c r="R24" s="68"/>
      <c r="S24" s="64"/>
      <c r="T24" s="64"/>
      <c r="U24" s="64"/>
      <c r="V24" s="64"/>
    </row>
    <row r="25" spans="1:22">
      <c r="A25" s="66" t="s">
        <v>184</v>
      </c>
      <c r="B25" s="66">
        <v>1500</v>
      </c>
      <c r="C25" s="66">
        <v>35</v>
      </c>
      <c r="D25" s="66">
        <v>25</v>
      </c>
      <c r="E25" s="66">
        <f>C25-D25</f>
        <v>10</v>
      </c>
      <c r="F25" s="66">
        <f>B25/B27</f>
        <v>0.30612244897959184</v>
      </c>
      <c r="G25" s="66">
        <f>E25*B25</f>
        <v>15000</v>
      </c>
      <c r="H25" s="66">
        <v>1600</v>
      </c>
      <c r="I25" s="66">
        <v>32</v>
      </c>
      <c r="J25" s="66">
        <v>25</v>
      </c>
      <c r="K25" s="66">
        <f>I25-J25</f>
        <v>7</v>
      </c>
      <c r="L25" s="81">
        <f>H25/H27</f>
        <v>0.33333333333333331</v>
      </c>
      <c r="M25" s="66">
        <f>K25*H25</f>
        <v>11200</v>
      </c>
      <c r="N25" s="92">
        <f>M25-G25</f>
        <v>-3800</v>
      </c>
      <c r="O25" s="66">
        <f>(H25-B25)*E25</f>
        <v>1000</v>
      </c>
      <c r="P25" s="69">
        <f>(K25-E25)*H25</f>
        <v>-4800</v>
      </c>
      <c r="Q25" s="65">
        <f>(H27-B27)*F25*E25</f>
        <v>-306.12244897959181</v>
      </c>
      <c r="R25" s="65">
        <f>(L25-F25)*H27*E25</f>
        <v>1306.1224489795907</v>
      </c>
      <c r="S25" s="75">
        <f>O25+P25</f>
        <v>-3800</v>
      </c>
      <c r="T25" s="76">
        <f>Q25+R25</f>
        <v>999.99999999999886</v>
      </c>
      <c r="U25" s="64"/>
      <c r="V25" s="64"/>
    </row>
    <row r="26" spans="1:22">
      <c r="A26" s="66" t="s">
        <v>190</v>
      </c>
      <c r="B26" s="66">
        <v>3400</v>
      </c>
      <c r="C26" s="66">
        <v>22</v>
      </c>
      <c r="D26" s="66">
        <v>13</v>
      </c>
      <c r="E26" s="66">
        <f>C26-D26</f>
        <v>9</v>
      </c>
      <c r="F26" s="66">
        <f>B26/B27</f>
        <v>0.69387755102040816</v>
      </c>
      <c r="G26" s="66">
        <f>E26*B26</f>
        <v>30600</v>
      </c>
      <c r="H26" s="66">
        <v>3200</v>
      </c>
      <c r="I26" s="66">
        <v>19</v>
      </c>
      <c r="J26" s="66">
        <v>13</v>
      </c>
      <c r="K26" s="66">
        <f>I26-J26</f>
        <v>6</v>
      </c>
      <c r="L26" s="81">
        <f>H26/H27</f>
        <v>0.66666666666666663</v>
      </c>
      <c r="M26" s="66">
        <f>K26*H26</f>
        <v>19200</v>
      </c>
      <c r="N26" s="92">
        <f>M26-G26</f>
        <v>-11400</v>
      </c>
      <c r="O26" s="66">
        <f>(H26-B26)*E26</f>
        <v>-1800</v>
      </c>
      <c r="P26" s="69">
        <f>(K26-E26)*H26</f>
        <v>-9600</v>
      </c>
      <c r="Q26" s="65">
        <f>(H27-B27)*F26*E26</f>
        <v>-624.48979591836735</v>
      </c>
      <c r="R26" s="65">
        <f>(L26-F26)*E26*H27</f>
        <v>-1175.5102040816339</v>
      </c>
      <c r="S26" s="75">
        <f>O26+P26</f>
        <v>-11400</v>
      </c>
      <c r="T26" s="76">
        <f>Q26+R26</f>
        <v>-1800.0000000000014</v>
      </c>
      <c r="U26" s="64"/>
      <c r="V26" s="64"/>
    </row>
    <row r="27" spans="1:22">
      <c r="A27" s="66" t="s">
        <v>191</v>
      </c>
      <c r="B27" s="66">
        <f>B25+B26</f>
        <v>4900</v>
      </c>
      <c r="C27" s="66"/>
      <c r="D27" s="66"/>
      <c r="E27" s="66"/>
      <c r="F27" s="66"/>
      <c r="G27" s="66">
        <f>G25+G26</f>
        <v>45600</v>
      </c>
      <c r="H27" s="66">
        <f>H25+H26</f>
        <v>4800</v>
      </c>
      <c r="I27" s="66"/>
      <c r="J27" s="66"/>
      <c r="K27" s="66"/>
      <c r="L27" s="66"/>
      <c r="M27" s="66">
        <f>M25+M26</f>
        <v>30400</v>
      </c>
      <c r="N27" s="92">
        <f>M27-G27</f>
        <v>-15200</v>
      </c>
      <c r="O27" s="66">
        <f>O25+O26</f>
        <v>-800</v>
      </c>
      <c r="P27" s="69">
        <f>P25+P26</f>
        <v>-14400</v>
      </c>
      <c r="Q27" s="99">
        <f>Q25+Q26</f>
        <v>-930.61224489795916</v>
      </c>
      <c r="R27" s="91">
        <f>R25+R26</f>
        <v>130.61224489795677</v>
      </c>
      <c r="S27" s="90">
        <f>O27+P27</f>
        <v>-15200</v>
      </c>
      <c r="T27" s="76">
        <f>Q27+R27</f>
        <v>-800.00000000000239</v>
      </c>
      <c r="U27" s="64"/>
      <c r="V27" s="64"/>
    </row>
    <row r="28" spans="1:2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80"/>
      <c r="O28" s="74"/>
      <c r="P28" s="74"/>
      <c r="Q28" s="74"/>
      <c r="R28" s="80"/>
      <c r="S28" s="80"/>
      <c r="T28" s="76"/>
      <c r="U28" s="64"/>
      <c r="V28" s="64"/>
    </row>
    <row r="29" spans="1:22">
      <c r="A29" s="74"/>
      <c r="B29" s="74"/>
      <c r="C29" s="74"/>
      <c r="D29" s="74"/>
      <c r="E29" s="74"/>
      <c r="F29" s="74"/>
      <c r="G29" s="74"/>
      <c r="H29" s="211" t="s">
        <v>65</v>
      </c>
      <c r="I29" s="212"/>
      <c r="J29" s="212"/>
      <c r="K29" s="212"/>
      <c r="L29" s="213"/>
      <c r="M29" s="74"/>
      <c r="N29" s="80"/>
      <c r="O29" s="74"/>
      <c r="P29" s="74"/>
      <c r="Q29" s="74"/>
      <c r="R29" s="80"/>
      <c r="S29" s="80"/>
      <c r="T29" s="76"/>
      <c r="U29" s="64"/>
      <c r="V29" s="64"/>
    </row>
    <row r="30" spans="1:22">
      <c r="A30" s="64"/>
      <c r="B30" s="64"/>
      <c r="C30" s="64"/>
      <c r="D30" s="64"/>
      <c r="E30" s="64"/>
      <c r="F30" s="64"/>
      <c r="G30" s="64"/>
      <c r="H30" s="2" t="s">
        <v>19</v>
      </c>
      <c r="I30" s="2" t="s">
        <v>223</v>
      </c>
      <c r="J30" s="2" t="s">
        <v>216</v>
      </c>
      <c r="K30" s="2" t="s">
        <v>22</v>
      </c>
      <c r="L30" s="2" t="s">
        <v>224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>
      <c r="A31" s="64"/>
      <c r="B31" s="64"/>
      <c r="C31" s="64"/>
      <c r="D31" t="s">
        <v>157</v>
      </c>
      <c r="E31" s="64">
        <f>(E25*B25+E26*B26)/B27</f>
        <v>9.3061224489795915</v>
      </c>
      <c r="F31" t="s">
        <v>217</v>
      </c>
      <c r="G31" s="100">
        <f>(H27-B27)*E31</f>
        <v>-930.61224489795916</v>
      </c>
      <c r="H31" s="65">
        <v>1600</v>
      </c>
      <c r="I31" s="65">
        <v>32</v>
      </c>
      <c r="J31" s="65">
        <v>26</v>
      </c>
      <c r="K31" s="65">
        <f>I25-J31</f>
        <v>6</v>
      </c>
      <c r="L31" s="65">
        <f>K31*H25</f>
        <v>9600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>
      <c r="A32" s="64"/>
      <c r="B32" s="64"/>
      <c r="C32" s="64"/>
      <c r="D32" s="64"/>
      <c r="E32" s="64"/>
      <c r="F32" s="64"/>
      <c r="G32" s="64"/>
      <c r="H32" s="65">
        <v>3200</v>
      </c>
      <c r="I32" s="65">
        <v>19</v>
      </c>
      <c r="J32" s="91">
        <v>12</v>
      </c>
      <c r="K32" s="65">
        <f>I26-J32</f>
        <v>7</v>
      </c>
      <c r="L32" s="65">
        <f>K32*H26</f>
        <v>22400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5">
      <c r="A33" s="208" t="s">
        <v>222</v>
      </c>
      <c r="B33" s="208"/>
      <c r="C33" s="208"/>
      <c r="D33" s="64"/>
      <c r="E33" s="64"/>
      <c r="F33" s="64"/>
      <c r="G33" s="64"/>
      <c r="H33" s="64"/>
      <c r="I33" s="64"/>
      <c r="J33" s="80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>
      <c r="A34" s="64"/>
      <c r="B34" s="64"/>
      <c r="C34" s="64"/>
      <c r="D34" s="64"/>
      <c r="E34" s="64"/>
      <c r="F34" s="64"/>
      <c r="G34" s="64"/>
      <c r="H34" s="64"/>
      <c r="I34" s="64"/>
      <c r="J34" s="80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32.25" customHeight="1">
      <c r="A35" s="69"/>
      <c r="B35" s="217" t="s">
        <v>185</v>
      </c>
      <c r="C35" s="217"/>
      <c r="D35" s="217"/>
      <c r="E35" s="218"/>
      <c r="F35" s="72"/>
      <c r="G35" s="72"/>
      <c r="H35" s="219" t="s">
        <v>65</v>
      </c>
      <c r="I35" s="219"/>
      <c r="J35" s="219"/>
      <c r="K35" s="220"/>
      <c r="L35" s="101" t="s">
        <v>225</v>
      </c>
      <c r="M35" s="72"/>
      <c r="N35" s="221" t="s">
        <v>60</v>
      </c>
      <c r="O35" s="209" t="s">
        <v>186</v>
      </c>
      <c r="P35" s="210"/>
      <c r="Q35" s="184"/>
      <c r="R35" s="64" t="s">
        <v>187</v>
      </c>
      <c r="S35" s="64"/>
      <c r="T35" s="64"/>
      <c r="U35" s="64"/>
      <c r="V35" s="64"/>
    </row>
    <row r="36" spans="1:22">
      <c r="A36" s="66"/>
      <c r="B36" s="93" t="s">
        <v>67</v>
      </c>
      <c r="C36" s="93" t="s">
        <v>193</v>
      </c>
      <c r="D36" s="94" t="s">
        <v>192</v>
      </c>
      <c r="E36" s="95" t="s">
        <v>203</v>
      </c>
      <c r="F36" s="73"/>
      <c r="G36" s="73"/>
      <c r="H36" s="68" t="s">
        <v>67</v>
      </c>
      <c r="I36" s="68" t="s">
        <v>193</v>
      </c>
      <c r="J36" s="68" t="s">
        <v>192</v>
      </c>
      <c r="K36" s="68" t="s">
        <v>204</v>
      </c>
      <c r="L36" s="73"/>
      <c r="M36" s="73"/>
      <c r="N36" s="221"/>
      <c r="O36" s="98" t="s">
        <v>214</v>
      </c>
      <c r="P36" s="96" t="s">
        <v>7</v>
      </c>
      <c r="Q36" s="97" t="s">
        <v>215</v>
      </c>
      <c r="R36" s="73"/>
      <c r="S36" s="64"/>
      <c r="T36" s="64"/>
      <c r="U36" s="64"/>
      <c r="V36" s="64"/>
    </row>
    <row r="37" spans="1:22">
      <c r="A37" s="66" t="s">
        <v>184</v>
      </c>
      <c r="B37" s="66">
        <v>52500</v>
      </c>
      <c r="C37" s="77">
        <f>D37/B37</f>
        <v>0.2857142857142857</v>
      </c>
      <c r="D37" s="69">
        <v>15000</v>
      </c>
      <c r="E37" s="87">
        <f>B37/B39</f>
        <v>0.41241162608012571</v>
      </c>
      <c r="F37" s="74"/>
      <c r="G37" s="74"/>
      <c r="H37" s="65">
        <v>51200</v>
      </c>
      <c r="I37" s="87">
        <f>J37/H37</f>
        <v>0.1875</v>
      </c>
      <c r="J37" s="65">
        <f>(I25-J31)*H25</f>
        <v>9600</v>
      </c>
      <c r="K37" s="87">
        <f>H37/H39</f>
        <v>0.45714285714285713</v>
      </c>
      <c r="L37" s="102"/>
      <c r="M37" s="74"/>
      <c r="N37" s="65">
        <f>J37-D37</f>
        <v>-5400</v>
      </c>
      <c r="O37" s="65"/>
      <c r="P37" s="65"/>
      <c r="Q37" s="65"/>
      <c r="R37" s="80">
        <f>O37+P37+Q37</f>
        <v>0</v>
      </c>
      <c r="S37" s="64"/>
      <c r="T37" s="76" t="s">
        <v>189</v>
      </c>
      <c r="U37" s="64"/>
      <c r="V37" s="64"/>
    </row>
    <row r="38" spans="1:22">
      <c r="A38" s="66" t="s">
        <v>190</v>
      </c>
      <c r="B38" s="66">
        <v>74800</v>
      </c>
      <c r="C38" s="77">
        <f>D38/B38</f>
        <v>0.40909090909090912</v>
      </c>
      <c r="D38" s="69">
        <v>30600</v>
      </c>
      <c r="E38" s="87">
        <f>B38/B39</f>
        <v>0.58758837391987429</v>
      </c>
      <c r="F38" s="74"/>
      <c r="G38" s="74"/>
      <c r="H38" s="65">
        <v>60800</v>
      </c>
      <c r="I38" s="87">
        <f>J38/H38</f>
        <v>0.36842105263157893</v>
      </c>
      <c r="J38" s="65">
        <f>(I26-J32)*H26</f>
        <v>22400</v>
      </c>
      <c r="K38" s="87">
        <f>H38/H39</f>
        <v>0.54285714285714282</v>
      </c>
      <c r="L38" s="102"/>
      <c r="M38" s="74"/>
      <c r="N38" s="65">
        <f>J38-D38</f>
        <v>-8200</v>
      </c>
      <c r="O38" s="65"/>
      <c r="P38" s="65"/>
      <c r="Q38" s="65"/>
      <c r="R38" s="74"/>
      <c r="S38" s="64"/>
      <c r="T38" s="76"/>
      <c r="U38" s="64"/>
      <c r="V38" s="64"/>
    </row>
    <row r="39" spans="1:22">
      <c r="A39" s="66" t="s">
        <v>191</v>
      </c>
      <c r="B39" s="66">
        <f>B37+B38</f>
        <v>127300</v>
      </c>
      <c r="C39" s="78">
        <f>D39/B39</f>
        <v>0.35820895522388058</v>
      </c>
      <c r="D39" s="69">
        <f>D37+D38</f>
        <v>45600</v>
      </c>
      <c r="E39" s="65"/>
      <c r="F39" s="74"/>
      <c r="G39" s="74"/>
      <c r="H39" s="65">
        <f>H37+H38</f>
        <v>112000</v>
      </c>
      <c r="I39" s="88">
        <f>J39/H39</f>
        <v>0.2857142857142857</v>
      </c>
      <c r="J39" s="65">
        <f>J37+J38</f>
        <v>32000</v>
      </c>
      <c r="K39" s="65"/>
      <c r="L39" s="102">
        <f>K37*C37+K38*C38</f>
        <v>0.35269016697588124</v>
      </c>
      <c r="M39" s="74"/>
      <c r="N39" s="70">
        <f>J39-D39</f>
        <v>-13600</v>
      </c>
      <c r="O39" s="2">
        <f>(I39-L39)*H39</f>
        <v>-7501.2987012987005</v>
      </c>
      <c r="P39" s="65">
        <f>(L39-C39)*H39</f>
        <v>-618.10428377592609</v>
      </c>
      <c r="Q39" s="65">
        <f>(H39-B39)*C39</f>
        <v>-5480.5970149253726</v>
      </c>
      <c r="R39" s="90">
        <f>O39+P39+Q39</f>
        <v>-13600</v>
      </c>
      <c r="S39" s="64"/>
      <c r="T39" s="76" t="s">
        <v>189</v>
      </c>
      <c r="U39" s="64"/>
      <c r="V39" s="64"/>
    </row>
    <row r="40" spans="1:2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R40" s="79"/>
      <c r="S40" s="64"/>
      <c r="T40" s="64"/>
      <c r="U40" s="64"/>
      <c r="V40" s="64"/>
    </row>
    <row r="41" spans="1:22">
      <c r="A41" s="64"/>
      <c r="B41" s="64"/>
      <c r="C41" s="64"/>
      <c r="D41" s="64"/>
      <c r="E41" s="79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R41" s="79"/>
      <c r="S41" s="64"/>
      <c r="T41" s="64"/>
      <c r="U41" s="64"/>
      <c r="V41" s="64"/>
    </row>
    <row r="42" spans="1:2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R42" s="79"/>
      <c r="S42" s="64"/>
      <c r="T42" s="64"/>
      <c r="U42" s="64"/>
      <c r="V42" s="64"/>
    </row>
    <row r="43" spans="1:2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R43" s="79"/>
      <c r="S43" s="64"/>
      <c r="T43" s="64"/>
      <c r="U43" s="64"/>
      <c r="V43" s="64"/>
    </row>
    <row r="44" spans="1:2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R44" s="79"/>
      <c r="S44" s="64"/>
      <c r="T44" s="64"/>
      <c r="U44" s="64"/>
      <c r="V44" s="64"/>
    </row>
    <row r="45" spans="1:2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R45" s="79"/>
      <c r="S45" s="64"/>
      <c r="T45" s="64"/>
      <c r="U45" s="64"/>
      <c r="V45" s="64"/>
    </row>
    <row r="46" spans="1:2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R46" s="79"/>
      <c r="S46" s="64"/>
      <c r="T46" s="64"/>
      <c r="U46" s="64"/>
      <c r="V46" s="64"/>
    </row>
    <row r="47" spans="1:2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R47" s="64"/>
      <c r="S47" s="64"/>
      <c r="T47" s="64"/>
      <c r="U47" s="64"/>
      <c r="V47" s="64"/>
    </row>
    <row r="48" spans="1:22">
      <c r="A48" s="65"/>
      <c r="B48" s="214" t="s">
        <v>205</v>
      </c>
      <c r="C48" s="215"/>
      <c r="D48" s="216"/>
      <c r="E48" s="64"/>
      <c r="F48" s="192" t="s">
        <v>14</v>
      </c>
      <c r="G48" s="193"/>
      <c r="H48" s="194"/>
      <c r="I48" s="2" t="s">
        <v>68</v>
      </c>
      <c r="J48" s="172" t="s">
        <v>54</v>
      </c>
      <c r="K48" s="173"/>
      <c r="L48" s="174"/>
      <c r="M48" s="64"/>
      <c r="N48" s="2" t="s">
        <v>56</v>
      </c>
      <c r="O48" s="2" t="s">
        <v>209</v>
      </c>
      <c r="P48" s="2" t="s">
        <v>195</v>
      </c>
      <c r="Q48" s="27" t="s">
        <v>197</v>
      </c>
      <c r="R48" s="64"/>
      <c r="S48" s="64"/>
      <c r="T48" s="64"/>
      <c r="U48" s="64"/>
      <c r="V48" s="64"/>
    </row>
    <row r="49" spans="1:20" ht="18">
      <c r="A49" s="65"/>
      <c r="B49" s="2" t="s">
        <v>3</v>
      </c>
      <c r="C49" s="2" t="s">
        <v>5</v>
      </c>
      <c r="D49" s="2" t="s">
        <v>206</v>
      </c>
      <c r="E49" s="62"/>
      <c r="F49" s="2" t="s">
        <v>3</v>
      </c>
      <c r="G49" s="2" t="s">
        <v>5</v>
      </c>
      <c r="H49" s="2" t="s">
        <v>206</v>
      </c>
      <c r="I49" s="63"/>
      <c r="J49" s="2" t="s">
        <v>3</v>
      </c>
      <c r="K49" s="2" t="s">
        <v>5</v>
      </c>
      <c r="L49" s="2" t="s">
        <v>206</v>
      </c>
      <c r="M49" s="62"/>
      <c r="N49" s="63"/>
      <c r="O49" s="63"/>
      <c r="P49" s="63"/>
      <c r="Q49" s="63"/>
      <c r="R49" s="62"/>
      <c r="S49" s="62"/>
      <c r="T49" s="62"/>
    </row>
    <row r="50" spans="1:20">
      <c r="A50" s="2" t="s">
        <v>51</v>
      </c>
      <c r="B50" s="2">
        <v>3600</v>
      </c>
      <c r="C50" s="2">
        <v>1.4</v>
      </c>
      <c r="D50" s="2">
        <f>B50*C50</f>
        <v>5040</v>
      </c>
      <c r="F50" s="2">
        <v>3900</v>
      </c>
      <c r="G50" s="2">
        <v>1.45</v>
      </c>
      <c r="H50" s="2">
        <f>F50*G50</f>
        <v>5655</v>
      </c>
      <c r="I50" s="2">
        <f>H50-D50</f>
        <v>615</v>
      </c>
      <c r="J50" s="2">
        <f>(B50*F53)/A53</f>
        <v>4400</v>
      </c>
      <c r="K50" s="2">
        <v>1.5</v>
      </c>
      <c r="L50" s="2">
        <f>J50*K50</f>
        <v>6600</v>
      </c>
      <c r="N50" s="2">
        <f>H50-L50</f>
        <v>-945</v>
      </c>
      <c r="O50" s="2">
        <f>(G50-K50)*F50</f>
        <v>-195.00000000000017</v>
      </c>
      <c r="P50" s="2">
        <f>(F50-J50)*K50</f>
        <v>-750</v>
      </c>
      <c r="Q50" s="2">
        <f>O50+P50</f>
        <v>-945.00000000000023</v>
      </c>
    </row>
    <row r="51" spans="1:20">
      <c r="A51" s="2" t="s">
        <v>45</v>
      </c>
      <c r="B51" s="2">
        <v>450</v>
      </c>
      <c r="C51" s="2">
        <v>15</v>
      </c>
      <c r="D51" s="2">
        <f>B51*C51</f>
        <v>6750</v>
      </c>
      <c r="F51" s="2">
        <v>500</v>
      </c>
      <c r="G51" s="2">
        <v>16.2</v>
      </c>
      <c r="H51" s="2">
        <f>F51*G51</f>
        <v>8100</v>
      </c>
      <c r="I51" s="2">
        <f t="shared" ref="I51:I53" si="0">H51-D51</f>
        <v>1350</v>
      </c>
      <c r="J51" s="2">
        <f>(B51*F53)/A53</f>
        <v>550</v>
      </c>
      <c r="K51" s="2">
        <v>16</v>
      </c>
      <c r="L51" s="2">
        <f t="shared" ref="L51:L52" si="1">J51*K51</f>
        <v>8800</v>
      </c>
      <c r="N51" s="2">
        <f>H51-L51</f>
        <v>-700</v>
      </c>
      <c r="O51" s="2">
        <f>(G51-K51)*F51</f>
        <v>99.999999999999645</v>
      </c>
      <c r="P51" s="2">
        <f>(F51-J51)*K51</f>
        <v>-800</v>
      </c>
      <c r="Q51" s="2">
        <f>O51+P51</f>
        <v>-700.00000000000034</v>
      </c>
    </row>
    <row r="52" spans="1:20">
      <c r="A52" s="2" t="s">
        <v>61</v>
      </c>
      <c r="B52" s="2">
        <v>55647</v>
      </c>
      <c r="C52" s="2">
        <v>1</v>
      </c>
      <c r="D52" s="2">
        <f>B52*C52</f>
        <v>55647</v>
      </c>
      <c r="F52" s="2">
        <v>60000</v>
      </c>
      <c r="G52" s="2">
        <v>0.95</v>
      </c>
      <c r="H52" s="2">
        <f>F52*G52</f>
        <v>57000</v>
      </c>
      <c r="I52" s="2">
        <f t="shared" si="0"/>
        <v>1353</v>
      </c>
      <c r="J52" s="2">
        <f>(B52*F53)/A53</f>
        <v>68013</v>
      </c>
      <c r="K52" s="2">
        <v>1</v>
      </c>
      <c r="L52" s="2">
        <f t="shared" si="1"/>
        <v>68013</v>
      </c>
      <c r="N52" s="61">
        <f>H52-L52</f>
        <v>-11013</v>
      </c>
      <c r="O52" s="2">
        <f>(G52-K52)*F52</f>
        <v>-3000.0000000000027</v>
      </c>
      <c r="P52" s="2">
        <f>(F52-J52)*K52</f>
        <v>-8013</v>
      </c>
      <c r="Q52" s="61">
        <f>O52+P52</f>
        <v>-11013.000000000004</v>
      </c>
    </row>
    <row r="53" spans="1:20">
      <c r="A53" s="2">
        <v>1800</v>
      </c>
      <c r="B53" s="2"/>
      <c r="C53" s="2">
        <f>D53/A53</f>
        <v>37.465000000000003</v>
      </c>
      <c r="D53" s="2">
        <f>SUM(D50:D52)</f>
        <v>67437</v>
      </c>
      <c r="F53" s="2">
        <v>2200</v>
      </c>
      <c r="G53" s="2">
        <f>H53/F53</f>
        <v>32.161363636363639</v>
      </c>
      <c r="H53" s="2">
        <f>SUM(H50:H52)</f>
        <v>70755</v>
      </c>
      <c r="I53" s="3">
        <f t="shared" si="0"/>
        <v>3318</v>
      </c>
      <c r="J53" s="2">
        <v>2100</v>
      </c>
      <c r="K53" s="2">
        <f>L53/J53</f>
        <v>39.720476190476191</v>
      </c>
      <c r="L53" s="2">
        <f>SUM(L50:L52)</f>
        <v>83413</v>
      </c>
      <c r="N53" s="83">
        <f>H53-L53</f>
        <v>-12658</v>
      </c>
      <c r="O53" s="2">
        <f>O50+O51+O52</f>
        <v>-3095.0000000000032</v>
      </c>
      <c r="P53" s="2">
        <f>P50+P51+P52</f>
        <v>-9563</v>
      </c>
      <c r="Q53" s="83">
        <f>O53+P53</f>
        <v>-12658.000000000004</v>
      </c>
    </row>
    <row r="54" spans="1:20">
      <c r="P54" s="35"/>
    </row>
    <row r="56" spans="1:20">
      <c r="B56">
        <f>(50000*2100)/2000</f>
        <v>52500</v>
      </c>
      <c r="G56" t="s">
        <v>207</v>
      </c>
      <c r="H56">
        <f>(F53-A53)*C53</f>
        <v>14986.000000000002</v>
      </c>
    </row>
    <row r="57" spans="1:20">
      <c r="G57" t="s">
        <v>208</v>
      </c>
      <c r="H57" s="46">
        <f>(G53-C53)*F53</f>
        <v>-11668.000000000002</v>
      </c>
      <c r="M57" s="2" t="s">
        <v>210</v>
      </c>
      <c r="N57" s="2" t="s">
        <v>112</v>
      </c>
      <c r="O57" s="2">
        <f>2/5*60000</f>
        <v>24000</v>
      </c>
    </row>
    <row r="58" spans="1:20">
      <c r="H58" s="1">
        <f>SUM(H56:H57)</f>
        <v>3318</v>
      </c>
      <c r="M58" s="2"/>
      <c r="N58" s="2" t="s">
        <v>114</v>
      </c>
      <c r="O58" s="2">
        <v>35645</v>
      </c>
    </row>
    <row r="59" spans="1:20">
      <c r="M59" s="2"/>
      <c r="N59" s="2" t="s">
        <v>191</v>
      </c>
      <c r="O59" s="2">
        <f>O57+O58</f>
        <v>59645</v>
      </c>
    </row>
    <row r="61" spans="1:20">
      <c r="M61" s="2" t="s">
        <v>211</v>
      </c>
      <c r="N61" s="2"/>
      <c r="O61" s="2">
        <f>H52-O59</f>
        <v>-2645</v>
      </c>
    </row>
    <row r="62" spans="1:20">
      <c r="M62" s="2"/>
      <c r="N62" s="2"/>
      <c r="O62" s="2"/>
    </row>
    <row r="63" spans="1:20">
      <c r="M63" s="2" t="s">
        <v>107</v>
      </c>
      <c r="N63" s="2"/>
      <c r="O63" s="2">
        <f>O59-N65</f>
        <v>-355</v>
      </c>
    </row>
    <row r="64" spans="1:20">
      <c r="M64" s="2"/>
      <c r="N64" s="2"/>
      <c r="O64" s="2"/>
    </row>
    <row r="65" spans="13:15">
      <c r="M65" s="2" t="s">
        <v>212</v>
      </c>
      <c r="N65" s="2">
        <f>60000*1</f>
        <v>60000</v>
      </c>
      <c r="O65" s="2"/>
    </row>
    <row r="66" spans="13:15">
      <c r="M66" s="2"/>
      <c r="N66" s="2"/>
      <c r="O66" s="2"/>
    </row>
    <row r="67" spans="13:15">
      <c r="M67" s="2" t="s">
        <v>213</v>
      </c>
      <c r="N67" s="2"/>
      <c r="O67" s="2">
        <f>N65-L52</f>
        <v>-8013</v>
      </c>
    </row>
    <row r="68" spans="13:15">
      <c r="M68" s="2"/>
      <c r="N68" s="2"/>
      <c r="O68" s="2"/>
    </row>
    <row r="69" spans="13:15">
      <c r="M69" s="2"/>
      <c r="N69" s="2"/>
      <c r="O69" s="2"/>
    </row>
    <row r="70" spans="13:15">
      <c r="M70" s="2" t="s">
        <v>8</v>
      </c>
      <c r="N70" s="2"/>
      <c r="O70" s="61">
        <f>O61+O63+O67</f>
        <v>-11013</v>
      </c>
    </row>
  </sheetData>
  <mergeCells count="24">
    <mergeCell ref="O8:P8"/>
    <mergeCell ref="Q8:R8"/>
    <mergeCell ref="B9:E9"/>
    <mergeCell ref="H9:K9"/>
    <mergeCell ref="N9:N10"/>
    <mergeCell ref="O9:O10"/>
    <mergeCell ref="P9:P10"/>
    <mergeCell ref="N35:N36"/>
    <mergeCell ref="O35:Q35"/>
    <mergeCell ref="A21:C21"/>
    <mergeCell ref="O22:P22"/>
    <mergeCell ref="Q22:R22"/>
    <mergeCell ref="B23:G23"/>
    <mergeCell ref="H23:M23"/>
    <mergeCell ref="N23:N24"/>
    <mergeCell ref="O23:O24"/>
    <mergeCell ref="P23:P24"/>
    <mergeCell ref="B48:D48"/>
    <mergeCell ref="F48:H48"/>
    <mergeCell ref="J48:L48"/>
    <mergeCell ref="H29:L29"/>
    <mergeCell ref="A33:C33"/>
    <mergeCell ref="B35:E35"/>
    <mergeCell ref="H35:K35"/>
  </mergeCells>
  <conditionalFormatting sqref="T11:T13 T25:T29 T37:T39">
    <cfRule type="cellIs" dxfId="1" priority="2" stopIfTrue="1" operator="equal">
      <formula>"erreur"</formula>
    </cfRule>
  </conditionalFormatting>
  <conditionalFormatting sqref="T11:T13 T25:T29 T37:T39">
    <cfRule type="cellIs" dxfId="0" priority="1" stopIfTrue="1" operator="equal">
      <formula>"OK"</formula>
    </cfRule>
  </conditionalFormatting>
  <pageMargins left="0.7" right="0.7" top="0.75" bottom="0.75" header="0.3" footer="0.3"/>
  <pageSetup paperSize="9" scale="9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TD1 CA vente</vt:lpstr>
      <vt:lpstr>TD1 Marge vente</vt:lpstr>
      <vt:lpstr>TD1 marge situation</vt:lpstr>
      <vt:lpstr>TD1 situation</vt:lpstr>
      <vt:lpstr>TD2 Marge vente flash</vt:lpstr>
      <vt:lpstr>TD2 CD production</vt:lpstr>
      <vt:lpstr>TD2 CI production</vt:lpstr>
      <vt:lpstr>partiel2013</vt:lpstr>
      <vt:lpstr>entrainement partiel 2013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gardes</dc:creator>
  <cp:lastModifiedBy>Nathalie Gardès</cp:lastModifiedBy>
  <cp:lastPrinted>2013-03-31T18:31:33Z</cp:lastPrinted>
  <dcterms:created xsi:type="dcterms:W3CDTF">2013-03-19T13:43:58Z</dcterms:created>
  <dcterms:modified xsi:type="dcterms:W3CDTF">2014-03-21T19:58:55Z</dcterms:modified>
</cp:coreProperties>
</file>