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cham/Desktop/"/>
    </mc:Choice>
  </mc:AlternateContent>
  <xr:revisionPtr revIDLastSave="0" documentId="13_ncr:1_{773A8E8F-E14C-3044-AB56-1712C59E4303}" xr6:coauthVersionLast="45" xr6:coauthVersionMax="45" xr10:uidLastSave="{00000000-0000-0000-0000-000000000000}"/>
  <bookViews>
    <workbookView xWindow="0" yWindow="460" windowWidth="28800" windowHeight="17540" activeTab="1" xr2:uid="{34AB754B-84D2-AF41-9A9D-A13726846CC4}"/>
  </bookViews>
  <sheets>
    <sheet name="RÉCAP DONNÉES" sheetId="1" r:id="rId1"/>
    <sheet name="SOLUTIO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K38" i="2" l="1"/>
  <c r="M37" i="2"/>
  <c r="J39" i="2" s="1"/>
  <c r="K40" i="2" s="1"/>
  <c r="I41" i="2" s="1"/>
  <c r="I42" i="2" s="1"/>
  <c r="F42" i="2" s="1"/>
  <c r="C36" i="2"/>
  <c r="C40" i="2" s="1"/>
  <c r="D36" i="2"/>
  <c r="D40" i="2" s="1"/>
  <c r="E36" i="2"/>
  <c r="E40" i="2" s="1"/>
  <c r="F36" i="2"/>
  <c r="F40" i="2" s="1"/>
  <c r="B36" i="2"/>
  <c r="B40" i="2" s="1"/>
  <c r="F34" i="2"/>
  <c r="F37" i="2" s="1"/>
  <c r="E34" i="2"/>
  <c r="E37" i="2" s="1"/>
  <c r="D34" i="2"/>
  <c r="C34" i="2"/>
  <c r="C37" i="2" s="1"/>
  <c r="B34" i="2"/>
  <c r="B37" i="2" s="1"/>
  <c r="C28" i="2"/>
  <c r="D28" i="2"/>
  <c r="D29" i="2" s="1"/>
  <c r="E20" i="2" s="1"/>
  <c r="E21" i="2" s="1"/>
  <c r="E23" i="2" s="1"/>
  <c r="E28" i="2"/>
  <c r="F28" i="2"/>
  <c r="I43" i="2" s="1"/>
  <c r="B28" i="2"/>
  <c r="B29" i="2" s="1"/>
  <c r="C20" i="2" s="1"/>
  <c r="C23" i="2"/>
  <c r="B21" i="2"/>
  <c r="B23" i="2" s="1"/>
  <c r="D10" i="2"/>
  <c r="D8" i="2"/>
  <c r="D37" i="2" l="1"/>
  <c r="C38" i="2"/>
  <c r="C39" i="2" s="1"/>
  <c r="C41" i="2" s="1"/>
  <c r="C44" i="2" s="1"/>
  <c r="D38" i="2"/>
  <c r="D39" i="2"/>
  <c r="D41" i="2" s="1"/>
  <c r="D44" i="2" s="1"/>
  <c r="E38" i="2"/>
  <c r="E39" i="2" s="1"/>
  <c r="E41" i="2" s="1"/>
  <c r="E44" i="2" s="1"/>
  <c r="B38" i="2"/>
  <c r="B39" i="2" s="1"/>
  <c r="B41" i="2" s="1"/>
  <c r="B44" i="2" s="1"/>
  <c r="C29" i="2"/>
  <c r="D20" i="2" s="1"/>
  <c r="D21" i="2" s="1"/>
  <c r="D23" i="2" s="1"/>
  <c r="F38" i="2"/>
  <c r="F39" i="2" s="1"/>
  <c r="F41" i="2" s="1"/>
  <c r="F44" i="2" s="1"/>
  <c r="B45" i="2" s="1"/>
  <c r="E29" i="2"/>
  <c r="F20" i="2" s="1"/>
  <c r="F21" i="2" s="1"/>
  <c r="F23" i="2" s="1"/>
  <c r="F29" i="2"/>
  <c r="G20" i="2" s="1"/>
  <c r="G21" i="2" s="1"/>
  <c r="G23" i="2" s="1"/>
  <c r="B24" i="2"/>
  <c r="B48" i="2" l="1"/>
  <c r="B47" i="2"/>
</calcChain>
</file>

<file path=xl/sharedStrings.xml><?xml version="1.0" encoding="utf-8"?>
<sst xmlns="http://schemas.openxmlformats.org/spreadsheetml/2006/main" count="122" uniqueCount="109">
  <si>
    <t>ÉPREUVE DE GESTION FINANCIÈRE- JANVIER 2020</t>
  </si>
  <si>
    <t>CAS ANGUS</t>
  </si>
  <si>
    <t>CAHT</t>
  </si>
  <si>
    <t>2200 000</t>
  </si>
  <si>
    <t>2700 000</t>
  </si>
  <si>
    <t>Charges variables (en % du CAHT)</t>
  </si>
  <si>
    <t>Charges fixes hors dotations aux amortissements</t>
  </si>
  <si>
    <t>200 000</t>
  </si>
  <si>
    <r>
      <t>1)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Déterminez le coût moyen pondéré du capital de la société ANGUS</t>
    </r>
  </si>
  <si>
    <r>
      <t>2)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En utilisant le CMPC comme taux d’actualisation, calculez :</t>
    </r>
  </si>
  <si>
    <r>
      <t>a.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Arial"/>
        <family val="2"/>
      </rPr>
      <t>Le montant du Capital à Investir dans le projet,</t>
    </r>
  </si>
  <si>
    <r>
      <t>b.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Les Flux Nets d’exploitation associés au projet et sa Valeur  Terminale.</t>
    </r>
  </si>
  <si>
    <r>
      <t>3)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Évaluez la rentabilité économique du projet en utilisant les critère de la VAN et  de l’Indice de Profitabilité.</t>
    </r>
  </si>
  <si>
    <r>
      <t>4)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Quelles conclusions tirez-vous sur la rentabilité de projet </t>
    </r>
  </si>
  <si>
    <t>PROGRAMME D'INVESTISSEMENT</t>
  </si>
  <si>
    <t>DATE DE DEMARRAGE DE L'EXPLOITAT° : JANVIER 2021</t>
  </si>
  <si>
    <t xml:space="preserve">FIN EXPLOITAT° </t>
  </si>
  <si>
    <t xml:space="preserve"> Flux d’investissement </t>
  </si>
  <si>
    <t>Flux relatifs à l’exploitation (EN DH)</t>
  </si>
  <si>
    <r>
      <t>·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un terrain au coût de 800 000 DH,</t>
    </r>
  </si>
  <si>
    <r>
      <t>·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des constructions dont le coût est estimé à 3 000 000 DH,  amortissables sur 20 ans,</t>
    </r>
  </si>
  <si>
    <r>
      <t>·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installations techniques et outillages (ITO) pour un coût global de 500 000 DH ; amortissables sur 10 ans,</t>
    </r>
  </si>
  <si>
    <r>
      <t>·</t>
    </r>
    <r>
      <rPr>
        <sz val="12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matériel roulant pour une valeur de 450 000 DH, amortissables sur 5 ans.</t>
    </r>
  </si>
  <si>
    <t>BFR MOYEN</t>
  </si>
  <si>
    <t>45 JCAHT</t>
  </si>
  <si>
    <t>VR</t>
  </si>
  <si>
    <t>PC AVANT IS (4200000 DH) + RÉCUPÉRATIO 70% BFR</t>
  </si>
  <si>
    <t>SF = 50% CP ET 50% DF</t>
  </si>
  <si>
    <t>kD AVANT IS</t>
  </si>
  <si>
    <t xml:space="preserve">kcp à calculer selon le MEDAF avec : </t>
  </si>
  <si>
    <t xml:space="preserve">β=3 </t>
  </si>
  <si>
    <t>Rm = 8%</t>
  </si>
  <si>
    <t>Rf = 5%</t>
  </si>
  <si>
    <r>
      <rPr>
        <b/>
        <sz val="12"/>
        <color theme="1"/>
        <rFont val="Arial"/>
        <family val="2"/>
      </rPr>
      <t>Au début 2020</t>
    </r>
    <r>
      <rPr>
        <sz val="12"/>
        <color theme="1"/>
        <rFont val="Arial"/>
        <family val="2"/>
      </rPr>
      <t>, l’entreprise engagerait les dépenses relatives à l’achat du terrain ainsi que la moitié du coût des constructions.</t>
    </r>
  </si>
  <si>
    <t>AMORTISSEMENT LINÉAIRE DES IMMO</t>
  </si>
  <si>
    <t>TIS = 30%</t>
  </si>
  <si>
    <t>RAPPEL :</t>
  </si>
  <si>
    <t>CMPC = k = (kcp*CP/CP+D) + (kd*D/CP+D)</t>
  </si>
  <si>
    <t xml:space="preserve">ON À : </t>
  </si>
  <si>
    <t>CP/CP+D = 50%</t>
  </si>
  <si>
    <t>ET D/CP+D = 50%</t>
  </si>
  <si>
    <t>Kd avant IS</t>
  </si>
  <si>
    <t>TIS</t>
  </si>
  <si>
    <t>DONC :</t>
  </si>
  <si>
    <t>kd net =</t>
  </si>
  <si>
    <t>8,85%*(1-0,3)</t>
  </si>
  <si>
    <t xml:space="preserve">kd </t>
  </si>
  <si>
    <t>kcp = Rf + β*(Rm - rf). =</t>
  </si>
  <si>
    <t>β = 3</t>
  </si>
  <si>
    <t>Rm</t>
  </si>
  <si>
    <t>Rf</t>
  </si>
  <si>
    <t>5% + 3*(8% - 5%)</t>
  </si>
  <si>
    <t>kcp</t>
  </si>
  <si>
    <t>CMPC  =</t>
  </si>
  <si>
    <t xml:space="preserve">6,20%*50% + 14%*50% </t>
  </si>
  <si>
    <t xml:space="preserve">    À ARRONDIR À 11%</t>
  </si>
  <si>
    <t>2) Montant du Capital à Investir dans le projet (DI)</t>
  </si>
  <si>
    <t>ÉLÉMENTS DE LA DI</t>
  </si>
  <si>
    <t>TERRAIN</t>
  </si>
  <si>
    <t>CONSTRUCT°</t>
  </si>
  <si>
    <t>ITO</t>
  </si>
  <si>
    <t>MAT ROULANT</t>
  </si>
  <si>
    <r>
      <t xml:space="preserve">Les dépenses liées au reliquat du coût des constructions, aux ITO et au matériel roulant seraient engagées au </t>
    </r>
    <r>
      <rPr>
        <b/>
        <sz val="12"/>
        <color theme="1"/>
        <rFont val="Arial"/>
        <family val="2"/>
      </rPr>
      <t>début de l’année 2021</t>
    </r>
    <r>
      <rPr>
        <sz val="12"/>
        <color theme="1"/>
        <rFont val="Arial"/>
        <family val="2"/>
      </rPr>
      <t xml:space="preserve">. </t>
    </r>
  </si>
  <si>
    <t>TOTAL DÉPENSES</t>
  </si>
  <si>
    <t>BFR ADDITIONNELS</t>
  </si>
  <si>
    <t>BFR</t>
  </si>
  <si>
    <t>VAR BFR</t>
  </si>
  <si>
    <t>COEF D'ACTUALISATION</t>
  </si>
  <si>
    <t>1,1^0</t>
  </si>
  <si>
    <t>1,1^-1</t>
  </si>
  <si>
    <t>1,1^-2</t>
  </si>
  <si>
    <t>1,1^-3</t>
  </si>
  <si>
    <t>1,1^-4</t>
  </si>
  <si>
    <t>1,1^-5</t>
  </si>
  <si>
    <t>DÉPENSES ACTUALISÉES</t>
  </si>
  <si>
    <t>DI</t>
  </si>
  <si>
    <t>CALCUL BFR</t>
  </si>
  <si>
    <t>3) Flux Nets d’exploitation associés au projet et sa Valeur  Terminale.</t>
  </si>
  <si>
    <t xml:space="preserve">Charges fixes </t>
  </si>
  <si>
    <t>charges variables</t>
  </si>
  <si>
    <t>Dotations aux Amort</t>
  </si>
  <si>
    <t>REX AVANT IS</t>
  </si>
  <si>
    <t>IS (30%)</t>
  </si>
  <si>
    <t>REX APRÈS IS</t>
  </si>
  <si>
    <t xml:space="preserve"> Dotations aux Amort</t>
  </si>
  <si>
    <t>CF NETS D'EXPLOITAT°</t>
  </si>
  <si>
    <t>VR NETTE</t>
  </si>
  <si>
    <t>CALCUL VR NETTE</t>
  </si>
  <si>
    <t>PC AVANT IS</t>
  </si>
  <si>
    <t>RÉCUP BFR</t>
  </si>
  <si>
    <t>PC NET = 4200000 - IS/+VALUE</t>
  </si>
  <si>
    <t>SOMME DOTATIONS</t>
  </si>
  <si>
    <t>SOMME VO DES IMMO</t>
  </si>
  <si>
    <t>800000+3000000+500000+450000</t>
  </si>
  <si>
    <t>290000*5</t>
  </si>
  <si>
    <t>PLUS-VALUE</t>
  </si>
  <si>
    <t>TOTAL VNC DES IMMO</t>
  </si>
  <si>
    <t>4200000 - 3300000</t>
  </si>
  <si>
    <t>IS/+VALUE</t>
  </si>
  <si>
    <t>PC NET</t>
  </si>
  <si>
    <t>RECUP BFR</t>
  </si>
  <si>
    <t>1,1^-6</t>
  </si>
  <si>
    <t>CF NETS ACTUALISÉS</t>
  </si>
  <si>
    <t>COEF D'ACTUALIS</t>
  </si>
  <si>
    <t>TOTAL CFA</t>
  </si>
  <si>
    <t xml:space="preserve">4) VAN </t>
  </si>
  <si>
    <t>IP</t>
  </si>
  <si>
    <t>CONCLUSION : VAN POSITIVE ET IP&gt;1. PAR CONSÉQUENT LE PROJET EST ÉCONOMIQUEMENT RENTABLE</t>
  </si>
  <si>
    <t>DATE D'ANALYSE RETENUE: DÉBUT JANV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</si>
</sst>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7"/>
      <color theme="1"/>
      <name val="Times New Roman"/>
      <family val="1"/>
    </font>
    <font>
      <b/>
      <u/>
      <sz val="12"/>
      <color theme="1"/>
      <name val="Arial"/>
      <family val="2"/>
    </font>
    <font>
      <sz val="12"/>
      <color theme="1"/>
      <name val="Symbol"/>
      <charset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Wingdings"/>
      <charset val="2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70C0"/>
      <name val="Calibri"/>
      <family val="2"/>
      <scheme val="minor"/>
    </font>
    <font>
      <b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0" fillId="0" borderId="0" xfId="0" applyNumberFormat="1"/>
    <xf numFmtId="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0" xfId="0" applyFont="1"/>
    <xf numFmtId="0" fontId="1" fillId="0" borderId="0" xfId="0" applyFont="1"/>
    <xf numFmtId="17" fontId="1" fillId="0" borderId="0" xfId="0" applyNumberFormat="1" applyFont="1"/>
    <xf numFmtId="10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0" fontId="0" fillId="0" borderId="0" xfId="0" applyNumberFormat="1"/>
    <xf numFmtId="10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0" fontId="1" fillId="2" borderId="0" xfId="0" applyNumberFormat="1" applyFont="1" applyFill="1"/>
    <xf numFmtId="0" fontId="13" fillId="0" borderId="0" xfId="0" applyFont="1"/>
    <xf numFmtId="0" fontId="14" fillId="0" borderId="8" xfId="0" applyFont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/>
    <xf numFmtId="0" fontId="12" fillId="2" borderId="8" xfId="0" applyFont="1" applyFill="1" applyBorder="1"/>
    <xf numFmtId="0" fontId="12" fillId="2" borderId="8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3" fillId="0" borderId="8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9" fontId="0" fillId="0" borderId="0" xfId="0" applyNumberFormat="1" applyBorder="1"/>
    <xf numFmtId="0" fontId="12" fillId="0" borderId="0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2" fontId="12" fillId="2" borderId="8" xfId="0" applyNumberFormat="1" applyFont="1" applyFill="1" applyBorder="1"/>
    <xf numFmtId="9" fontId="0" fillId="0" borderId="0" xfId="0" applyNumberFormat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left"/>
    </xf>
    <xf numFmtId="0" fontId="19" fillId="3" borderId="8" xfId="0" applyFont="1" applyFill="1" applyBorder="1" applyAlignment="1">
      <alignment horizontal="center" vertical="center" wrapText="1"/>
    </xf>
    <xf numFmtId="0" fontId="1" fillId="3" borderId="0" xfId="0" applyFont="1" applyFill="1"/>
    <xf numFmtId="0" fontId="2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2" fontId="12" fillId="2" borderId="8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D52F-E4BB-1F4E-AC9A-553123AA8678}">
  <dimension ref="A1:L33"/>
  <sheetViews>
    <sheetView workbookViewId="0">
      <selection activeCell="A34" sqref="A34"/>
    </sheetView>
  </sheetViews>
  <sheetFormatPr baseColWidth="10" defaultRowHeight="16" x14ac:dyDescent="0.2"/>
  <cols>
    <col min="1" max="1" width="16.83203125" style="3" customWidth="1"/>
    <col min="2" max="3" width="10.83203125" style="3"/>
    <col min="4" max="4" width="13.6640625" style="3" customWidth="1"/>
    <col min="5" max="16384" width="10.83203125" style="3"/>
  </cols>
  <sheetData>
    <row r="1" spans="1:12" x14ac:dyDescent="0.2">
      <c r="A1" s="69" t="s">
        <v>0</v>
      </c>
      <c r="B1" s="69"/>
      <c r="C1" s="69"/>
      <c r="D1" s="69"/>
    </row>
    <row r="2" spans="1:12" ht="17" x14ac:dyDescent="0.2">
      <c r="A2" s="2" t="s">
        <v>1</v>
      </c>
    </row>
    <row r="4" spans="1:12" x14ac:dyDescent="0.2">
      <c r="A4" s="15" t="s">
        <v>14</v>
      </c>
    </row>
    <row r="5" spans="1:12" x14ac:dyDescent="0.2">
      <c r="A5" s="70" t="s">
        <v>19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x14ac:dyDescent="0.2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x14ac:dyDescent="0.2">
      <c r="A7" s="70" t="s">
        <v>21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x14ac:dyDescent="0.2">
      <c r="A8" s="70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x14ac:dyDescent="0.2">
      <c r="A9" s="15" t="s">
        <v>15</v>
      </c>
      <c r="B9" s="15"/>
      <c r="C9" s="15"/>
      <c r="D9" s="15"/>
    </row>
    <row r="10" spans="1:12" x14ac:dyDescent="0.2">
      <c r="A10" s="15" t="s">
        <v>16</v>
      </c>
      <c r="B10" s="16">
        <v>45992</v>
      </c>
      <c r="C10" s="15"/>
      <c r="D10" s="15"/>
    </row>
    <row r="11" spans="1:12" x14ac:dyDescent="0.2">
      <c r="A11" s="14" t="s">
        <v>17</v>
      </c>
    </row>
    <row r="12" spans="1:12" x14ac:dyDescent="0.2">
      <c r="A12" s="64" t="s">
        <v>33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x14ac:dyDescent="0.2">
      <c r="A13" s="64" t="s">
        <v>62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7" thickBot="1" x14ac:dyDescent="0.25">
      <c r="A14" s="65" t="s">
        <v>18</v>
      </c>
      <c r="B14" s="66"/>
      <c r="C14" s="66"/>
    </row>
    <row r="15" spans="1:12" ht="17" thickBot="1" x14ac:dyDescent="0.25">
      <c r="A15" s="4"/>
      <c r="B15" s="5">
        <v>2021</v>
      </c>
      <c r="C15" s="5">
        <v>2022</v>
      </c>
      <c r="D15" s="5">
        <v>2023</v>
      </c>
      <c r="E15" s="5">
        <v>2024</v>
      </c>
      <c r="F15" s="5">
        <v>2025</v>
      </c>
    </row>
    <row r="16" spans="1:12" ht="17" thickBot="1" x14ac:dyDescent="0.25">
      <c r="A16" s="6" t="s">
        <v>2</v>
      </c>
      <c r="B16" s="7">
        <v>1400000</v>
      </c>
      <c r="C16" s="7">
        <v>1750000</v>
      </c>
      <c r="D16" s="7" t="s">
        <v>3</v>
      </c>
      <c r="E16" s="7">
        <v>2500000</v>
      </c>
      <c r="F16" s="7" t="s">
        <v>4</v>
      </c>
    </row>
    <row r="17" spans="1:11" ht="31" thickBot="1" x14ac:dyDescent="0.25">
      <c r="A17" s="6" t="s">
        <v>5</v>
      </c>
      <c r="B17" s="9">
        <v>0.3</v>
      </c>
      <c r="C17" s="9">
        <v>0.3</v>
      </c>
      <c r="D17" s="9">
        <v>0.35</v>
      </c>
      <c r="E17" s="9">
        <v>0.4</v>
      </c>
      <c r="F17" s="9">
        <v>0.4</v>
      </c>
    </row>
    <row r="18" spans="1:11" ht="25" customHeight="1" x14ac:dyDescent="0.2">
      <c r="A18" s="67" t="s">
        <v>6</v>
      </c>
      <c r="B18" s="11"/>
      <c r="C18" s="11"/>
      <c r="D18" s="12"/>
      <c r="E18" s="12"/>
      <c r="F18" s="11"/>
    </row>
    <row r="19" spans="1:11" ht="17" thickBot="1" x14ac:dyDescent="0.25">
      <c r="A19" s="68"/>
      <c r="B19" s="7" t="s">
        <v>7</v>
      </c>
      <c r="C19" s="7" t="s">
        <v>7</v>
      </c>
      <c r="D19" s="7" t="s">
        <v>7</v>
      </c>
      <c r="E19" s="13" t="s">
        <v>7</v>
      </c>
      <c r="F19" s="7" t="s">
        <v>7</v>
      </c>
    </row>
    <row r="21" spans="1:11" x14ac:dyDescent="0.2">
      <c r="A21" s="15" t="s">
        <v>23</v>
      </c>
      <c r="B21" s="15" t="s">
        <v>24</v>
      </c>
      <c r="C21" s="15"/>
      <c r="D21" s="15"/>
      <c r="E21" s="15"/>
    </row>
    <row r="22" spans="1:11" x14ac:dyDescent="0.2">
      <c r="A22" s="15" t="s">
        <v>25</v>
      </c>
      <c r="B22" s="15" t="s">
        <v>26</v>
      </c>
      <c r="C22" s="15"/>
      <c r="D22" s="15"/>
      <c r="E22" s="15"/>
    </row>
    <row r="23" spans="1:11" x14ac:dyDescent="0.2">
      <c r="A23" s="15" t="s">
        <v>27</v>
      </c>
      <c r="B23" s="15"/>
    </row>
    <row r="24" spans="1:11" x14ac:dyDescent="0.2">
      <c r="A24" s="15" t="s">
        <v>28</v>
      </c>
      <c r="B24" s="17">
        <v>8.8499999999999995E-2</v>
      </c>
    </row>
    <row r="25" spans="1:11" x14ac:dyDescent="0.2">
      <c r="A25" s="15" t="s">
        <v>29</v>
      </c>
      <c r="D25" s="18" t="s">
        <v>30</v>
      </c>
      <c r="E25" s="19" t="s">
        <v>31</v>
      </c>
      <c r="F25" s="19" t="s">
        <v>32</v>
      </c>
    </row>
    <row r="26" spans="1:11" x14ac:dyDescent="0.2">
      <c r="A26" s="15" t="s">
        <v>34</v>
      </c>
    </row>
    <row r="27" spans="1:11" x14ac:dyDescent="0.2">
      <c r="A27" s="15" t="s">
        <v>35</v>
      </c>
    </row>
    <row r="28" spans="1:11" x14ac:dyDescent="0.2">
      <c r="A28" s="63" t="s">
        <v>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63" t="s">
        <v>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63" t="s">
        <v>10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63" t="s">
        <v>11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x14ac:dyDescent="0.2">
      <c r="A32" s="63" t="s">
        <v>12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63" t="s">
        <v>13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</sheetData>
  <mergeCells count="15">
    <mergeCell ref="A1:D1"/>
    <mergeCell ref="A5:L5"/>
    <mergeCell ref="A6:L6"/>
    <mergeCell ref="A7:L7"/>
    <mergeCell ref="A8:L8"/>
    <mergeCell ref="A30:K30"/>
    <mergeCell ref="A31:K31"/>
    <mergeCell ref="A32:K32"/>
    <mergeCell ref="A33:K33"/>
    <mergeCell ref="A12:L12"/>
    <mergeCell ref="A13:L13"/>
    <mergeCell ref="A14:C14"/>
    <mergeCell ref="A18:A19"/>
    <mergeCell ref="A28:K28"/>
    <mergeCell ref="A29:K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3461-A3D4-604F-873C-49C5AA38B976}">
  <dimension ref="A1:M50"/>
  <sheetViews>
    <sheetView tabSelected="1" zoomScale="130" zoomScaleNormal="130" workbookViewId="0">
      <selection activeCell="B24" sqref="B24:C24"/>
    </sheetView>
  </sheetViews>
  <sheetFormatPr baseColWidth="10" defaultRowHeight="16" x14ac:dyDescent="0.2"/>
  <cols>
    <col min="1" max="1" width="21.33203125" customWidth="1"/>
  </cols>
  <sheetData>
    <row r="1" spans="1:11" ht="16" customHeight="1" x14ac:dyDescent="0.2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A2" s="19" t="s">
        <v>36</v>
      </c>
      <c r="B2" t="s">
        <v>37</v>
      </c>
    </row>
    <row r="3" spans="1:11" x14ac:dyDescent="0.2">
      <c r="B3" t="s">
        <v>38</v>
      </c>
      <c r="C3" t="s">
        <v>39</v>
      </c>
    </row>
    <row r="4" spans="1:11" x14ac:dyDescent="0.2">
      <c r="C4" t="s">
        <v>40</v>
      </c>
    </row>
    <row r="5" spans="1:11" x14ac:dyDescent="0.2">
      <c r="C5" t="s">
        <v>41</v>
      </c>
      <c r="D5" s="21">
        <v>8.8499999999999995E-2</v>
      </c>
      <c r="F5" s="1" t="s">
        <v>48</v>
      </c>
      <c r="G5" s="1" t="s">
        <v>49</v>
      </c>
      <c r="H5" s="55">
        <v>0.08</v>
      </c>
      <c r="I5" s="1" t="s">
        <v>50</v>
      </c>
      <c r="J5" s="55">
        <v>0.05</v>
      </c>
    </row>
    <row r="6" spans="1:11" x14ac:dyDescent="0.2">
      <c r="C6" t="s">
        <v>42</v>
      </c>
      <c r="D6" s="8">
        <v>0.3</v>
      </c>
    </row>
    <row r="7" spans="1:11" x14ac:dyDescent="0.2">
      <c r="B7" t="s">
        <v>43</v>
      </c>
      <c r="C7" t="s">
        <v>44</v>
      </c>
      <c r="D7" t="s">
        <v>45</v>
      </c>
    </row>
    <row r="8" spans="1:11" x14ac:dyDescent="0.2">
      <c r="C8" s="19" t="s">
        <v>46</v>
      </c>
      <c r="D8" s="22">
        <f>D5*(100%-D6)</f>
        <v>6.1949999999999991E-2</v>
      </c>
    </row>
    <row r="9" spans="1:11" x14ac:dyDescent="0.2">
      <c r="B9" t="s">
        <v>47</v>
      </c>
      <c r="D9" t="s">
        <v>51</v>
      </c>
    </row>
    <row r="10" spans="1:11" x14ac:dyDescent="0.2">
      <c r="C10" s="19" t="s">
        <v>52</v>
      </c>
      <c r="D10" s="22">
        <f>5%+3*(8%-5%)</f>
        <v>0.14000000000000001</v>
      </c>
    </row>
    <row r="11" spans="1:11" x14ac:dyDescent="0.2">
      <c r="B11" t="s">
        <v>43</v>
      </c>
      <c r="C11" t="s">
        <v>53</v>
      </c>
      <c r="D11" t="s">
        <v>54</v>
      </c>
    </row>
    <row r="12" spans="1:11" x14ac:dyDescent="0.2">
      <c r="C12" s="23" t="s">
        <v>53</v>
      </c>
      <c r="D12" s="24">
        <v>0.10100000000000001</v>
      </c>
      <c r="E12" s="25" t="s">
        <v>55</v>
      </c>
      <c r="F12" s="25"/>
    </row>
    <row r="13" spans="1:11" x14ac:dyDescent="0.2">
      <c r="A13" s="15" t="s">
        <v>56</v>
      </c>
      <c r="B13" s="15"/>
      <c r="C13" s="15"/>
      <c r="D13" s="15"/>
    </row>
    <row r="14" spans="1:11" x14ac:dyDescent="0.2">
      <c r="A14" s="62" t="s">
        <v>108</v>
      </c>
      <c r="B14" s="62"/>
      <c r="C14" s="62"/>
      <c r="D14" s="15"/>
    </row>
    <row r="15" spans="1:11" x14ac:dyDescent="0.2">
      <c r="A15" s="28" t="s">
        <v>57</v>
      </c>
      <c r="B15" s="28">
        <v>2020</v>
      </c>
      <c r="C15" s="28">
        <v>2021</v>
      </c>
      <c r="D15" s="28">
        <v>2022</v>
      </c>
      <c r="E15" s="28">
        <v>2023</v>
      </c>
      <c r="F15" s="28">
        <v>2024</v>
      </c>
      <c r="G15" s="28">
        <v>2025</v>
      </c>
    </row>
    <row r="16" spans="1:11" x14ac:dyDescent="0.2">
      <c r="A16" s="28" t="s">
        <v>58</v>
      </c>
      <c r="B16" s="28">
        <v>800000</v>
      </c>
      <c r="C16" s="28"/>
      <c r="D16" s="28"/>
      <c r="E16" s="28"/>
      <c r="F16" s="28"/>
      <c r="G16" s="28"/>
    </row>
    <row r="17" spans="1:7" x14ac:dyDescent="0.2">
      <c r="A17" s="28" t="s">
        <v>59</v>
      </c>
      <c r="B17" s="28">
        <v>1500000</v>
      </c>
      <c r="C17" s="28">
        <v>1500000</v>
      </c>
      <c r="D17" s="28"/>
      <c r="E17" s="28"/>
      <c r="F17" s="28"/>
      <c r="G17" s="28"/>
    </row>
    <row r="18" spans="1:7" x14ac:dyDescent="0.2">
      <c r="A18" s="28" t="s">
        <v>60</v>
      </c>
      <c r="B18" s="28"/>
      <c r="C18" s="28">
        <v>500000</v>
      </c>
      <c r="D18" s="28"/>
      <c r="E18" s="28"/>
      <c r="F18" s="28"/>
      <c r="G18" s="28"/>
    </row>
    <row r="19" spans="1:7" x14ac:dyDescent="0.2">
      <c r="A19" s="28" t="s">
        <v>61</v>
      </c>
      <c r="B19" s="28"/>
      <c r="C19" s="28">
        <v>450000</v>
      </c>
      <c r="D19" s="28"/>
      <c r="E19" s="28"/>
      <c r="F19" s="28"/>
      <c r="G19" s="28"/>
    </row>
    <row r="20" spans="1:7" x14ac:dyDescent="0.2">
      <c r="A20" s="28" t="s">
        <v>64</v>
      </c>
      <c r="B20" s="28"/>
      <c r="C20" s="28">
        <f>B29</f>
        <v>175000</v>
      </c>
      <c r="D20" s="28">
        <f t="shared" ref="D20:G20" si="0">C29</f>
        <v>43750</v>
      </c>
      <c r="E20" s="28">
        <f t="shared" si="0"/>
        <v>56250</v>
      </c>
      <c r="F20" s="28">
        <f t="shared" si="0"/>
        <v>37500</v>
      </c>
      <c r="G20" s="28">
        <f t="shared" si="0"/>
        <v>25000</v>
      </c>
    </row>
    <row r="21" spans="1:7" x14ac:dyDescent="0.2">
      <c r="A21" s="28" t="s">
        <v>63</v>
      </c>
      <c r="B21" s="28">
        <f>SUM(B16:B19)</f>
        <v>2300000</v>
      </c>
      <c r="C21" s="28">
        <f>SUM(C16:C20)</f>
        <v>2625000</v>
      </c>
      <c r="D21" s="28">
        <f>D20</f>
        <v>43750</v>
      </c>
      <c r="E21" s="28">
        <f t="shared" ref="E21:G21" si="1">E20</f>
        <v>56250</v>
      </c>
      <c r="F21" s="28">
        <f t="shared" si="1"/>
        <v>37500</v>
      </c>
      <c r="G21" s="28">
        <f t="shared" si="1"/>
        <v>25000</v>
      </c>
    </row>
    <row r="22" spans="1:7" x14ac:dyDescent="0.2">
      <c r="A22" s="28" t="s">
        <v>67</v>
      </c>
      <c r="B22" s="29" t="s">
        <v>68</v>
      </c>
      <c r="C22" s="29" t="s">
        <v>69</v>
      </c>
      <c r="D22" s="29" t="s">
        <v>70</v>
      </c>
      <c r="E22" s="29" t="s">
        <v>71</v>
      </c>
      <c r="F22" s="29" t="s">
        <v>72</v>
      </c>
      <c r="G22" s="29" t="s">
        <v>73</v>
      </c>
    </row>
    <row r="23" spans="1:7" x14ac:dyDescent="0.2">
      <c r="A23" s="28" t="s">
        <v>74</v>
      </c>
      <c r="B23" s="28">
        <f>B21*1.1^0</f>
        <v>2300000</v>
      </c>
      <c r="C23" s="28">
        <f>C21*1.1^-1</f>
        <v>2386363.6363636362</v>
      </c>
      <c r="D23" s="28">
        <f>D21*1.1^-2</f>
        <v>36157.024793388424</v>
      </c>
      <c r="E23" s="28">
        <f>E21*1.1^-3</f>
        <v>42261.457550713734</v>
      </c>
      <c r="F23" s="28">
        <f>F21*1.1^-4</f>
        <v>25613.004576190146</v>
      </c>
      <c r="G23" s="28">
        <f>G21*1.1^-5</f>
        <v>15523.033076478872</v>
      </c>
    </row>
    <row r="24" spans="1:7" x14ac:dyDescent="0.2">
      <c r="A24" s="34" t="s">
        <v>75</v>
      </c>
      <c r="B24" s="71">
        <f>SUM(B23:G23)</f>
        <v>4805918.1563604083</v>
      </c>
      <c r="C24" s="71"/>
    </row>
    <row r="25" spans="1:7" ht="17" thickBot="1" x14ac:dyDescent="0.25">
      <c r="A25" s="32"/>
      <c r="B25" s="32"/>
    </row>
    <row r="26" spans="1:7" ht="17" thickBot="1" x14ac:dyDescent="0.25">
      <c r="A26" s="30" t="s">
        <v>76</v>
      </c>
      <c r="B26" s="31">
        <v>2021</v>
      </c>
      <c r="C26" s="5">
        <v>2022</v>
      </c>
      <c r="D26" s="5">
        <v>2023</v>
      </c>
      <c r="E26" s="5">
        <v>2024</v>
      </c>
      <c r="F26" s="5">
        <v>2025</v>
      </c>
    </row>
    <row r="27" spans="1:7" x14ac:dyDescent="0.2">
      <c r="A27" s="10" t="s">
        <v>2</v>
      </c>
      <c r="B27" s="11">
        <v>1400000</v>
      </c>
      <c r="C27" s="11">
        <v>1750000</v>
      </c>
      <c r="D27" s="11">
        <v>2200000</v>
      </c>
      <c r="E27" s="11">
        <v>2500000</v>
      </c>
      <c r="F27" s="11">
        <v>2700000</v>
      </c>
    </row>
    <row r="28" spans="1:7" x14ac:dyDescent="0.2">
      <c r="A28" s="26" t="s">
        <v>65</v>
      </c>
      <c r="B28" s="26">
        <f>B27*45/360</f>
        <v>175000</v>
      </c>
      <c r="C28" s="26">
        <f t="shared" ref="C28:F28" si="2">C27*45/360</f>
        <v>218750</v>
      </c>
      <c r="D28" s="26">
        <f t="shared" si="2"/>
        <v>275000</v>
      </c>
      <c r="E28" s="26">
        <f t="shared" si="2"/>
        <v>312500</v>
      </c>
      <c r="F28" s="26">
        <f t="shared" si="2"/>
        <v>337500</v>
      </c>
    </row>
    <row r="29" spans="1:7" x14ac:dyDescent="0.2">
      <c r="A29" s="27" t="s">
        <v>66</v>
      </c>
      <c r="B29" s="27">
        <f>B28</f>
        <v>175000</v>
      </c>
      <c r="C29" s="27">
        <f>C28-B28</f>
        <v>43750</v>
      </c>
      <c r="D29" s="27">
        <f t="shared" ref="D29:F29" si="3">D28-C28</f>
        <v>56250</v>
      </c>
      <c r="E29" s="27">
        <f t="shared" si="3"/>
        <v>37500</v>
      </c>
      <c r="F29" s="27">
        <f t="shared" si="3"/>
        <v>25000</v>
      </c>
    </row>
    <row r="31" spans="1:7" ht="17" thickBot="1" x14ac:dyDescent="0.25">
      <c r="A31" s="15" t="s">
        <v>77</v>
      </c>
      <c r="B31" s="15"/>
      <c r="C31" s="15"/>
      <c r="D31" s="15"/>
      <c r="E31" s="15"/>
    </row>
    <row r="32" spans="1:7" ht="17" thickBot="1" x14ac:dyDescent="0.25">
      <c r="A32" s="4"/>
      <c r="B32" s="5">
        <v>2021</v>
      </c>
      <c r="C32" s="5">
        <v>2022</v>
      </c>
      <c r="D32" s="5">
        <v>2023</v>
      </c>
      <c r="E32" s="5">
        <v>2024</v>
      </c>
      <c r="F32" s="5">
        <v>2025</v>
      </c>
    </row>
    <row r="33" spans="1:13" ht="17" thickBot="1" x14ac:dyDescent="0.25">
      <c r="A33" s="35" t="s">
        <v>2</v>
      </c>
      <c r="B33" s="38">
        <v>1400000</v>
      </c>
      <c r="C33" s="38">
        <v>1750000</v>
      </c>
      <c r="D33" s="38">
        <v>2200000</v>
      </c>
      <c r="E33" s="38">
        <v>2500000</v>
      </c>
      <c r="F33" s="38">
        <v>2700000</v>
      </c>
      <c r="H33" s="45" t="s">
        <v>87</v>
      </c>
      <c r="I33" s="46"/>
      <c r="J33" s="46"/>
      <c r="K33" s="46"/>
      <c r="L33" s="46"/>
      <c r="M33" s="47"/>
    </row>
    <row r="34" spans="1:13" ht="17" thickBot="1" x14ac:dyDescent="0.25">
      <c r="A34" s="37" t="s">
        <v>79</v>
      </c>
      <c r="B34" s="38">
        <f>B33*30%</f>
        <v>420000</v>
      </c>
      <c r="C34" s="38">
        <f t="shared" ref="C34" si="4">C33*30%</f>
        <v>525000</v>
      </c>
      <c r="D34" s="38">
        <f>D33*35%</f>
        <v>770000</v>
      </c>
      <c r="E34" s="38">
        <f>E33*40%</f>
        <v>1000000</v>
      </c>
      <c r="F34" s="38">
        <f>F33*40%</f>
        <v>1080000</v>
      </c>
      <c r="H34" s="48" t="s">
        <v>88</v>
      </c>
      <c r="I34" s="32">
        <v>4200000</v>
      </c>
      <c r="J34" s="32"/>
      <c r="K34" s="32"/>
      <c r="L34" s="32"/>
      <c r="M34" s="49"/>
    </row>
    <row r="35" spans="1:13" x14ac:dyDescent="0.2">
      <c r="A35" s="36" t="s">
        <v>78</v>
      </c>
      <c r="B35" s="39">
        <v>200000</v>
      </c>
      <c r="C35" s="39">
        <v>200000</v>
      </c>
      <c r="D35" s="39">
        <v>200000</v>
      </c>
      <c r="E35" s="39">
        <v>200000</v>
      </c>
      <c r="F35" s="39">
        <v>200000</v>
      </c>
      <c r="H35" s="48" t="s">
        <v>89</v>
      </c>
      <c r="I35" s="50">
        <v>0.7</v>
      </c>
      <c r="J35" s="32"/>
      <c r="K35" s="32"/>
      <c r="L35" s="32"/>
      <c r="M35" s="49"/>
    </row>
    <row r="36" spans="1:13" x14ac:dyDescent="0.2">
      <c r="A36" s="40" t="s">
        <v>80</v>
      </c>
      <c r="B36" s="41">
        <f>(3000000/20)+(500000/10)+(450000/5)</f>
        <v>290000</v>
      </c>
      <c r="C36" s="41">
        <f t="shared" ref="C36:F36" si="5">(3000000/20)+(500000/10)+(450000/5)</f>
        <v>290000</v>
      </c>
      <c r="D36" s="41">
        <f t="shared" si="5"/>
        <v>290000</v>
      </c>
      <c r="E36" s="41">
        <f t="shared" si="5"/>
        <v>290000</v>
      </c>
      <c r="F36" s="41">
        <f t="shared" si="5"/>
        <v>290000</v>
      </c>
      <c r="H36" s="48" t="s">
        <v>90</v>
      </c>
      <c r="I36" s="32"/>
      <c r="J36" s="32"/>
      <c r="K36" s="32"/>
      <c r="L36" s="32"/>
      <c r="M36" s="49"/>
    </row>
    <row r="37" spans="1:13" x14ac:dyDescent="0.2">
      <c r="A37" s="42" t="s">
        <v>81</v>
      </c>
      <c r="B37" s="28">
        <f>B33-B34-B35-B36</f>
        <v>490000</v>
      </c>
      <c r="C37" s="28">
        <f t="shared" ref="C37:F37" si="6">C33-C34-C35-C36</f>
        <v>735000</v>
      </c>
      <c r="D37" s="28">
        <f t="shared" si="6"/>
        <v>940000</v>
      </c>
      <c r="E37" s="28">
        <f t="shared" si="6"/>
        <v>1010000</v>
      </c>
      <c r="F37" s="28">
        <f t="shared" si="6"/>
        <v>1130000</v>
      </c>
      <c r="H37" s="48" t="s">
        <v>92</v>
      </c>
      <c r="I37" s="32"/>
      <c r="J37" s="32" t="s">
        <v>93</v>
      </c>
      <c r="K37" s="32"/>
      <c r="L37" s="32"/>
      <c r="M37" s="57">
        <f>B16+B17+C17+C18+C19</f>
        <v>4750000</v>
      </c>
    </row>
    <row r="38" spans="1:13" x14ac:dyDescent="0.2">
      <c r="A38" s="42" t="s">
        <v>82</v>
      </c>
      <c r="B38" s="28">
        <f>B37*30%</f>
        <v>147000</v>
      </c>
      <c r="C38" s="28">
        <f t="shared" ref="C38:F38" si="7">C37*30%</f>
        <v>220500</v>
      </c>
      <c r="D38" s="28">
        <f t="shared" si="7"/>
        <v>282000</v>
      </c>
      <c r="E38" s="28">
        <f t="shared" si="7"/>
        <v>303000</v>
      </c>
      <c r="F38" s="28">
        <f t="shared" si="7"/>
        <v>339000</v>
      </c>
      <c r="H38" s="48" t="s">
        <v>91</v>
      </c>
      <c r="I38" s="32"/>
      <c r="J38" s="32" t="s">
        <v>94</v>
      </c>
      <c r="K38" s="51">
        <f>290000*5</f>
        <v>1450000</v>
      </c>
      <c r="L38" s="32"/>
      <c r="M38" s="49"/>
    </row>
    <row r="39" spans="1:13" x14ac:dyDescent="0.2">
      <c r="A39" s="42" t="s">
        <v>83</v>
      </c>
      <c r="B39" s="28">
        <f>B37-B38</f>
        <v>343000</v>
      </c>
      <c r="C39" s="28">
        <f t="shared" ref="C39:F39" si="8">C37-C38</f>
        <v>514500</v>
      </c>
      <c r="D39" s="28">
        <f t="shared" si="8"/>
        <v>658000</v>
      </c>
      <c r="E39" s="28">
        <f t="shared" si="8"/>
        <v>707000</v>
      </c>
      <c r="F39" s="28">
        <f t="shared" si="8"/>
        <v>791000</v>
      </c>
      <c r="H39" s="48" t="s">
        <v>96</v>
      </c>
      <c r="I39" s="32"/>
      <c r="J39" s="51">
        <f>M37-K38</f>
        <v>3300000</v>
      </c>
      <c r="K39" s="32"/>
      <c r="L39" s="32"/>
      <c r="M39" s="49"/>
    </row>
    <row r="40" spans="1:13" x14ac:dyDescent="0.2">
      <c r="A40" s="42" t="s">
        <v>84</v>
      </c>
      <c r="B40" s="28">
        <f>B36</f>
        <v>290000</v>
      </c>
      <c r="C40" s="28">
        <f t="shared" ref="C40:F40" si="9">C36</f>
        <v>290000</v>
      </c>
      <c r="D40" s="28">
        <f t="shared" si="9"/>
        <v>290000</v>
      </c>
      <c r="E40" s="28">
        <f t="shared" si="9"/>
        <v>290000</v>
      </c>
      <c r="F40" s="28">
        <f t="shared" si="9"/>
        <v>290000</v>
      </c>
      <c r="H40" s="48" t="s">
        <v>95</v>
      </c>
      <c r="I40" s="32" t="s">
        <v>97</v>
      </c>
      <c r="J40" s="32"/>
      <c r="K40" s="51">
        <f>I34-J39</f>
        <v>900000</v>
      </c>
      <c r="L40" s="32"/>
      <c r="M40" s="49"/>
    </row>
    <row r="41" spans="1:13" ht="30" x14ac:dyDescent="0.2">
      <c r="A41" s="43" t="s">
        <v>85</v>
      </c>
      <c r="B41" s="34">
        <f>B39+B40</f>
        <v>633000</v>
      </c>
      <c r="C41" s="34">
        <f t="shared" ref="C41:F41" si="10">C39+C40</f>
        <v>804500</v>
      </c>
      <c r="D41" s="34">
        <f t="shared" si="10"/>
        <v>948000</v>
      </c>
      <c r="E41" s="34">
        <f t="shared" si="10"/>
        <v>997000</v>
      </c>
      <c r="F41" s="34">
        <f t="shared" si="10"/>
        <v>1081000</v>
      </c>
      <c r="H41" s="48" t="s">
        <v>98</v>
      </c>
      <c r="I41" s="51">
        <f>K40*30%</f>
        <v>270000</v>
      </c>
      <c r="J41" s="32"/>
      <c r="K41" s="32"/>
      <c r="L41" s="32"/>
      <c r="M41" s="49"/>
    </row>
    <row r="42" spans="1:13" x14ac:dyDescent="0.2">
      <c r="A42" s="61" t="s">
        <v>86</v>
      </c>
      <c r="B42" s="44"/>
      <c r="C42" s="44"/>
      <c r="D42" s="44"/>
      <c r="E42" s="44"/>
      <c r="F42" s="59">
        <f>I42+I43</f>
        <v>4166250</v>
      </c>
      <c r="G42" s="73"/>
      <c r="H42" s="58" t="s">
        <v>99</v>
      </c>
      <c r="I42" s="59">
        <f>I34-I41</f>
        <v>3930000</v>
      </c>
      <c r="J42" s="32"/>
      <c r="K42" s="32"/>
      <c r="L42" s="32"/>
      <c r="M42" s="49"/>
    </row>
    <row r="43" spans="1:13" ht="17" thickBot="1" x14ac:dyDescent="0.25">
      <c r="A43" s="42" t="s">
        <v>103</v>
      </c>
      <c r="B43" s="29" t="s">
        <v>70</v>
      </c>
      <c r="C43" s="29" t="s">
        <v>71</v>
      </c>
      <c r="D43" s="29" t="s">
        <v>72</v>
      </c>
      <c r="E43" s="29" t="s">
        <v>73</v>
      </c>
      <c r="F43" s="29" t="s">
        <v>101</v>
      </c>
      <c r="G43" s="73"/>
      <c r="H43" s="60" t="s">
        <v>100</v>
      </c>
      <c r="I43" s="59">
        <f>F28*70%</f>
        <v>236249.99999999997</v>
      </c>
      <c r="J43" s="56"/>
      <c r="K43" s="52"/>
      <c r="L43" s="52"/>
      <c r="M43" s="53"/>
    </row>
    <row r="44" spans="1:13" x14ac:dyDescent="0.2">
      <c r="A44" s="43" t="s">
        <v>102</v>
      </c>
      <c r="B44" s="34">
        <f>B41*1.1^-2</f>
        <v>523140.49586776854</v>
      </c>
      <c r="C44" s="34">
        <f>C41*1.1^-3</f>
        <v>604432.75732531911</v>
      </c>
      <c r="D44" s="34">
        <f>D41*1.1^-4</f>
        <v>647496.75568608684</v>
      </c>
      <c r="E44" s="34">
        <f>E41*1.1^-5</f>
        <v>619058.55908997741</v>
      </c>
      <c r="F44" s="34">
        <f>(F41+F42)*1.1^-6</f>
        <v>2961935.8294746825</v>
      </c>
    </row>
    <row r="45" spans="1:13" x14ac:dyDescent="0.2">
      <c r="A45" s="43" t="s">
        <v>104</v>
      </c>
      <c r="B45" s="33">
        <f>SUM(B44:F44)</f>
        <v>5356064.3974438347</v>
      </c>
    </row>
    <row r="47" spans="1:13" x14ac:dyDescent="0.2">
      <c r="A47" s="43" t="s">
        <v>105</v>
      </c>
      <c r="B47" s="54">
        <f>B45-B24</f>
        <v>550146.2410834264</v>
      </c>
    </row>
    <row r="48" spans="1:13" x14ac:dyDescent="0.2">
      <c r="A48" s="43" t="s">
        <v>106</v>
      </c>
      <c r="B48" s="54">
        <f>B45/B24</f>
        <v>1.1144726612448308</v>
      </c>
    </row>
    <row r="50" spans="1:6" ht="50" customHeight="1" x14ac:dyDescent="0.2">
      <c r="A50" s="72" t="s">
        <v>107</v>
      </c>
      <c r="B50" s="72"/>
      <c r="C50" s="72"/>
      <c r="D50" s="72"/>
      <c r="E50" s="72"/>
      <c r="F50" s="72"/>
    </row>
  </sheetData>
  <mergeCells count="3">
    <mergeCell ref="B24:C24"/>
    <mergeCell ref="A50:F50"/>
    <mergeCell ref="G42:G43"/>
  </mergeCells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RÉCAP DONNÉES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2021-02-06T20:10:27Z</dcterms:created>
  <dcterms:modified xsi:type="dcterms:W3CDTF">2021-02-18T19:13:52Z</dcterms:modified>
</cp:coreProperties>
</file>