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25" windowWidth="2355" windowHeight="3900"/>
  </bookViews>
  <sheets>
    <sheet name="compost" sheetId="5" r:id="rId1"/>
  </sheets>
  <calcPr calcId="145621"/>
</workbook>
</file>

<file path=xl/calcChain.xml><?xml version="1.0" encoding="utf-8"?>
<calcChain xmlns="http://schemas.openxmlformats.org/spreadsheetml/2006/main">
  <c r="C10" i="5" l="1"/>
  <c r="C11" i="5"/>
  <c r="C15" i="5" s="1"/>
  <c r="E15" i="5" s="1"/>
  <c r="E23" i="5"/>
  <c r="P43" i="5"/>
  <c r="Q52" i="5"/>
  <c r="G56" i="5"/>
  <c r="F56" i="5"/>
  <c r="Q54" i="5"/>
  <c r="L54" i="5"/>
  <c r="N54" i="5" s="1"/>
  <c r="J47" i="5"/>
  <c r="H47" i="5"/>
  <c r="H52" i="5" s="1"/>
  <c r="H56" i="5" s="1"/>
  <c r="J52" i="5"/>
  <c r="J56" i="5" s="1"/>
  <c r="I52" i="5"/>
  <c r="I56" i="5" s="1"/>
  <c r="G52" i="5"/>
  <c r="F52" i="5"/>
  <c r="E52" i="5"/>
  <c r="F47" i="5"/>
  <c r="I48" i="5"/>
  <c r="G48" i="5"/>
  <c r="G47" i="5"/>
  <c r="J43" i="5"/>
  <c r="I43" i="5"/>
  <c r="H43" i="5"/>
  <c r="G43" i="5"/>
  <c r="F43" i="5"/>
  <c r="E43" i="5"/>
  <c r="N25" i="5"/>
  <c r="N23" i="5"/>
  <c r="K23" i="5"/>
  <c r="H23" i="5"/>
  <c r="J22" i="5"/>
  <c r="J21" i="5"/>
  <c r="G22" i="5"/>
  <c r="G21" i="5"/>
  <c r="N19" i="5"/>
  <c r="O19" i="5"/>
  <c r="O20" i="5" s="1"/>
  <c r="N15" i="5" l="1"/>
  <c r="N27" i="5" s="1"/>
  <c r="N29" i="5" s="1"/>
  <c r="L52" i="5"/>
  <c r="N52" i="5" s="1"/>
  <c r="N57" i="5" s="1"/>
  <c r="R54" i="5"/>
  <c r="E56" i="5"/>
  <c r="K22" i="5"/>
  <c r="I22" i="5"/>
  <c r="K21" i="5"/>
  <c r="H22" i="5"/>
  <c r="H21" i="5"/>
  <c r="F22" i="5"/>
  <c r="I15" i="5"/>
  <c r="I11" i="5"/>
  <c r="I10" i="5"/>
  <c r="H15" i="5"/>
  <c r="E16" i="5" l="1"/>
  <c r="E19" i="5" s="1"/>
  <c r="E25" i="5" s="1"/>
  <c r="R19" i="5"/>
  <c r="L57" i="5"/>
  <c r="K15" i="5"/>
  <c r="H16" i="5" l="1"/>
  <c r="H19" i="5" s="1"/>
  <c r="H25" i="5" s="1"/>
  <c r="H27" i="5" s="1"/>
  <c r="H29" i="5" s="1"/>
  <c r="E27" i="5" l="1"/>
  <c r="E29" i="5" s="1"/>
  <c r="K16" i="5"/>
  <c r="K19" i="5" s="1"/>
  <c r="K25" i="5" s="1"/>
  <c r="K27" i="5" s="1"/>
  <c r="K29" i="5" s="1"/>
  <c r="N16" i="5" l="1"/>
</calcChain>
</file>

<file path=xl/sharedStrings.xml><?xml version="1.0" encoding="utf-8"?>
<sst xmlns="http://schemas.openxmlformats.org/spreadsheetml/2006/main" count="78" uniqueCount="61">
  <si>
    <t>Q</t>
  </si>
  <si>
    <t>T</t>
  </si>
  <si>
    <t>PU</t>
  </si>
  <si>
    <t xml:space="preserve">ECART </t>
  </si>
  <si>
    <t xml:space="preserve">QUESTION 1 </t>
  </si>
  <si>
    <t xml:space="preserve">compost </t>
  </si>
  <si>
    <t xml:space="preserve">graisse </t>
  </si>
  <si>
    <t>BASE</t>
  </si>
  <si>
    <t>total</t>
  </si>
  <si>
    <t xml:space="preserve">COUT CONJOINT </t>
  </si>
  <si>
    <t xml:space="preserve">clé CA </t>
  </si>
  <si>
    <t xml:space="preserve">CH Spécifiques </t>
  </si>
  <si>
    <t xml:space="preserve">en euros </t>
  </si>
  <si>
    <t>RES</t>
  </si>
  <si>
    <t xml:space="preserve">GALETTES </t>
  </si>
  <si>
    <t xml:space="preserve">BIDONS </t>
  </si>
  <si>
    <t>graisse</t>
  </si>
  <si>
    <t xml:space="preserve">Brut prévu </t>
  </si>
  <si>
    <t>COUT CONJOINT =</t>
  </si>
  <si>
    <t xml:space="preserve">SOMME DES COUTS PREMIERE PHASE </t>
  </si>
  <si>
    <t xml:space="preserve">PACQUETS </t>
  </si>
  <si>
    <t>B</t>
  </si>
  <si>
    <t xml:space="preserve">A = TOTAL </t>
  </si>
  <si>
    <t>cout total A+B</t>
  </si>
  <si>
    <t xml:space="preserve">Brut </t>
  </si>
  <si>
    <t xml:space="preserve">galettes </t>
  </si>
  <si>
    <t xml:space="preserve">futs </t>
  </si>
  <si>
    <t>bidons</t>
  </si>
  <si>
    <t>base</t>
  </si>
  <si>
    <t>sac</t>
  </si>
  <si>
    <t xml:space="preserve">pacquets </t>
  </si>
  <si>
    <t>qtés</t>
  </si>
  <si>
    <t xml:space="preserve">px vente HT </t>
  </si>
  <si>
    <t>= CA</t>
  </si>
  <si>
    <t>x</t>
  </si>
  <si>
    <t>cout compl</t>
  </si>
  <si>
    <t>2. conditionn</t>
  </si>
  <si>
    <t xml:space="preserve">MARGE </t>
  </si>
  <si>
    <t>CONTRIB</t>
  </si>
  <si>
    <t>(hors indivis)</t>
  </si>
  <si>
    <t>1. affinage etc..</t>
  </si>
  <si>
    <t>pref</t>
  </si>
  <si>
    <t xml:space="preserve">CONTRIB MIN </t>
  </si>
  <si>
    <t>CA</t>
  </si>
  <si>
    <t xml:space="preserve">TOUS </t>
  </si>
  <si>
    <t xml:space="preserve">PRODUITS </t>
  </si>
  <si>
    <t xml:space="preserve">CONTRIB MAX valeur </t>
  </si>
  <si>
    <t xml:space="preserve">DE 5 kgs </t>
  </si>
  <si>
    <t xml:space="preserve">HYP </t>
  </si>
  <si>
    <t>tonnes</t>
  </si>
  <si>
    <t xml:space="preserve">tonnes </t>
  </si>
  <si>
    <t>- perte de poids</t>
  </si>
  <si>
    <t xml:space="preserve">= tonnes net </t>
  </si>
  <si>
    <t xml:space="preserve">de 10 litres </t>
  </si>
  <si>
    <t>CA PREVISION</t>
  </si>
  <si>
    <t xml:space="preserve">litres </t>
  </si>
  <si>
    <t>VERIF</t>
  </si>
  <si>
    <t xml:space="preserve">POUR INFO </t>
  </si>
  <si>
    <t>DU ca</t>
  </si>
  <si>
    <t xml:space="preserve">COUTS INDIVIS </t>
  </si>
  <si>
    <t>3 PROD CONJ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</si>
</sst>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€_-;\-* #,##0\ _€_-;_-* &quot;-&quot;\ _€_-;_-@_-"/>
    <numFmt numFmtId="164" formatCode="_-* #,##0.0000\ _€_-;\-* #,##0.0000\ _€_-;_-* &quot;-&quot;????\ _€_-;_-@_-"/>
    <numFmt numFmtId="165" formatCode="0.000%"/>
    <numFmt numFmtId="166" formatCode="_-* #,##0.000\ _€_-;\-* #,##0.000\ _€_-;_-* &quot;-&quot;???\ _€_-;_-@_-"/>
    <numFmt numFmtId="167" formatCode="_-* #,##0.0\ _€_-;\-* #,##0.0\ _€_-;_-* &quot;-&quot;?\ _€_-;_-@_-"/>
    <numFmt numFmtId="168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6" xfId="0" applyBorder="1"/>
    <xf numFmtId="0" fontId="0" fillId="0" borderId="4" xfId="0" applyBorder="1" applyAlignment="1">
      <alignment horizontal="center"/>
    </xf>
    <xf numFmtId="0" fontId="0" fillId="0" borderId="11" xfId="0" applyBorder="1"/>
    <xf numFmtId="41" fontId="0" fillId="0" borderId="0" xfId="0" applyNumberFormat="1"/>
    <xf numFmtId="41" fontId="0" fillId="0" borderId="0" xfId="0" applyNumberFormat="1" applyAlignment="1">
      <alignment horizontal="center"/>
    </xf>
    <xf numFmtId="41" fontId="0" fillId="0" borderId="4" xfId="0" applyNumberFormat="1" applyBorder="1" applyAlignment="1">
      <alignment horizontal="center"/>
    </xf>
    <xf numFmtId="41" fontId="0" fillId="0" borderId="5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41" fontId="0" fillId="0" borderId="10" xfId="0" applyNumberForma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7" xfId="0" applyNumberFormat="1" applyBorder="1" applyAlignment="1">
      <alignment horizontal="center"/>
    </xf>
    <xf numFmtId="41" fontId="0" fillId="0" borderId="8" xfId="0" applyNumberFormat="1" applyBorder="1" applyAlignment="1">
      <alignment horizontal="center"/>
    </xf>
    <xf numFmtId="0" fontId="0" fillId="0" borderId="8" xfId="0" applyBorder="1"/>
    <xf numFmtId="165" fontId="0" fillId="0" borderId="0" xfId="0" applyNumberFormat="1"/>
    <xf numFmtId="0" fontId="0" fillId="2" borderId="18" xfId="0" applyFill="1" applyBorder="1" applyAlignment="1">
      <alignment horizontal="center"/>
    </xf>
    <xf numFmtId="41" fontId="0" fillId="0" borderId="10" xfId="0" quotePrefix="1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8" xfId="0" applyNumberFormat="1" applyBorder="1"/>
    <xf numFmtId="41" fontId="0" fillId="0" borderId="8" xfId="0" applyNumberFormat="1" applyBorder="1"/>
    <xf numFmtId="41" fontId="0" fillId="2" borderId="18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2" borderId="12" xfId="0" applyFill="1" applyBorder="1" applyAlignment="1">
      <alignment horizontal="center"/>
    </xf>
    <xf numFmtId="41" fontId="0" fillId="0" borderId="6" xfId="0" applyNumberFormat="1" applyBorder="1" applyAlignment="1">
      <alignment horizontal="center"/>
    </xf>
    <xf numFmtId="41" fontId="0" fillId="0" borderId="19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4" xfId="0" applyNumberFormat="1" applyBorder="1" applyAlignment="1">
      <alignment horizontal="center"/>
    </xf>
    <xf numFmtId="41" fontId="0" fillId="3" borderId="12" xfId="0" applyNumberFormat="1" applyFill="1" applyBorder="1" applyAlignment="1">
      <alignment horizontal="center"/>
    </xf>
    <xf numFmtId="41" fontId="0" fillId="3" borderId="13" xfId="0" applyNumberFormat="1" applyFill="1" applyBorder="1" applyAlignment="1">
      <alignment horizontal="center"/>
    </xf>
    <xf numFmtId="41" fontId="0" fillId="3" borderId="14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41" fontId="0" fillId="2" borderId="9" xfId="0" applyNumberFormat="1" applyFill="1" applyBorder="1"/>
    <xf numFmtId="41" fontId="0" fillId="0" borderId="18" xfId="0" applyNumberFormat="1" applyBorder="1" applyAlignment="1">
      <alignment horizontal="center"/>
    </xf>
    <xf numFmtId="0" fontId="0" fillId="0" borderId="18" xfId="0" applyBorder="1"/>
    <xf numFmtId="41" fontId="0" fillId="4" borderId="18" xfId="0" applyNumberFormat="1" applyFill="1" applyBorder="1" applyAlignment="1">
      <alignment horizontal="center"/>
    </xf>
    <xf numFmtId="41" fontId="0" fillId="0" borderId="18" xfId="0" applyNumberFormat="1" applyBorder="1"/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10" fontId="0" fillId="0" borderId="18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/>
    <xf numFmtId="41" fontId="1" fillId="0" borderId="5" xfId="0" applyNumberFormat="1" applyFont="1" applyBorder="1" applyAlignment="1">
      <alignment horizontal="center"/>
    </xf>
    <xf numFmtId="41" fontId="1" fillId="0" borderId="6" xfId="0" applyNumberFormat="1" applyFont="1" applyBorder="1" applyAlignment="1">
      <alignment horizontal="center"/>
    </xf>
    <xf numFmtId="41" fontId="0" fillId="0" borderId="6" xfId="0" applyNumberFormat="1" applyFont="1" applyBorder="1" applyAlignment="1">
      <alignment horizontal="center"/>
    </xf>
    <xf numFmtId="41" fontId="0" fillId="0" borderId="16" xfId="0" applyNumberFormat="1" applyBorder="1"/>
    <xf numFmtId="41" fontId="0" fillId="0" borderId="17" xfId="0" applyNumberFormat="1" applyBorder="1"/>
    <xf numFmtId="41" fontId="0" fillId="0" borderId="15" xfId="0" applyNumberFormat="1" applyBorder="1"/>
    <xf numFmtId="168" fontId="0" fillId="0" borderId="0" xfId="0" applyNumberFormat="1"/>
    <xf numFmtId="166" fontId="0" fillId="0" borderId="0" xfId="0" applyNumberFormat="1"/>
    <xf numFmtId="41" fontId="0" fillId="0" borderId="12" xfId="0" quotePrefix="1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0" fillId="5" borderId="12" xfId="0" applyNumberFormat="1" applyFill="1" applyBorder="1" applyAlignment="1">
      <alignment horizontal="center"/>
    </xf>
    <xf numFmtId="9" fontId="0" fillId="5" borderId="18" xfId="0" applyNumberFormat="1" applyFill="1" applyBorder="1" applyAlignment="1">
      <alignment horizontal="center"/>
    </xf>
    <xf numFmtId="41" fontId="3" fillId="0" borderId="4" xfId="0" applyNumberFormat="1" applyFont="1" applyBorder="1" applyAlignment="1">
      <alignment horizontal="center"/>
    </xf>
    <xf numFmtId="41" fontId="0" fillId="0" borderId="4" xfId="0" applyNumberFormat="1" applyFont="1" applyBorder="1" applyAlignment="1">
      <alignment horizontal="center"/>
    </xf>
    <xf numFmtId="41" fontId="3" fillId="0" borderId="6" xfId="0" applyNumberFormat="1" applyFont="1" applyBorder="1" applyAlignment="1">
      <alignment horizontal="center"/>
    </xf>
    <xf numFmtId="41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1" fontId="1" fillId="0" borderId="7" xfId="0" applyNumberFormat="1" applyFont="1" applyBorder="1" applyAlignment="1">
      <alignment horizontal="center"/>
    </xf>
    <xf numFmtId="41" fontId="1" fillId="0" borderId="4" xfId="0" quotePrefix="1" applyNumberFormat="1" applyFont="1" applyBorder="1" applyAlignment="1">
      <alignment horizontal="center"/>
    </xf>
    <xf numFmtId="41" fontId="1" fillId="0" borderId="7" xfId="0" quotePrefix="1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7" fontId="0" fillId="0" borderId="0" xfId="0" applyNumberFormat="1"/>
    <xf numFmtId="41" fontId="0" fillId="2" borderId="14" xfId="0" applyNumberFormat="1" applyFill="1" applyBorder="1" applyAlignment="1">
      <alignment horizontal="center"/>
    </xf>
    <xf numFmtId="41" fontId="0" fillId="2" borderId="1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57"/>
  <sheetViews>
    <sheetView tabSelected="1" topLeftCell="A38" workbookViewId="0">
      <selection activeCell="G54" sqref="G54"/>
    </sheetView>
  </sheetViews>
  <sheetFormatPr baseColWidth="10" defaultRowHeight="15" x14ac:dyDescent="0.25"/>
  <cols>
    <col min="1" max="1" width="3" customWidth="1"/>
    <col min="2" max="2" width="4.7109375" style="2" customWidth="1"/>
    <col min="3" max="3" width="4.28515625" style="2" customWidth="1"/>
    <col min="4" max="4" width="16.7109375" style="2" customWidth="1"/>
    <col min="5" max="5" width="13.5703125" style="2" customWidth="1"/>
    <col min="6" max="6" width="11.7109375" style="2" bestFit="1" customWidth="1"/>
    <col min="7" max="7" width="13.5703125" style="2" customWidth="1"/>
    <col min="8" max="8" width="13.7109375" style="2" bestFit="1" customWidth="1"/>
    <col min="9" max="9" width="11.7109375" style="2" bestFit="1" customWidth="1"/>
    <col min="10" max="10" width="13.5703125" style="2" customWidth="1"/>
    <col min="11" max="11" width="15.140625" style="2" customWidth="1"/>
    <col min="12" max="12" width="14.28515625" customWidth="1"/>
    <col min="13" max="13" width="11" style="2" customWidth="1"/>
    <col min="14" max="14" width="13.28515625" bestFit="1" customWidth="1"/>
    <col min="16" max="17" width="11.7109375" bestFit="1" customWidth="1"/>
  </cols>
  <sheetData>
    <row r="3" spans="2:17" x14ac:dyDescent="0.25">
      <c r="E3" s="15" t="s">
        <v>18</v>
      </c>
      <c r="G3" s="2" t="s">
        <v>19</v>
      </c>
    </row>
    <row r="4" spans="2:17" x14ac:dyDescent="0.25">
      <c r="E4" s="38"/>
    </row>
    <row r="5" spans="2:17" ht="15.75" thickBot="1" x14ac:dyDescent="0.3"/>
    <row r="6" spans="2:17" ht="21.75" thickBot="1" x14ac:dyDescent="0.4">
      <c r="B6" s="2" t="s">
        <v>12</v>
      </c>
      <c r="C6" s="19"/>
      <c r="D6" s="10" t="s">
        <v>5</v>
      </c>
      <c r="E6" s="11"/>
      <c r="F6" s="14"/>
      <c r="G6" s="12" t="s">
        <v>6</v>
      </c>
      <c r="H6" s="13"/>
      <c r="I6" s="14"/>
      <c r="J6" s="12" t="s">
        <v>7</v>
      </c>
      <c r="K6" s="13"/>
      <c r="L6" s="64"/>
      <c r="M6" s="65" t="s">
        <v>8</v>
      </c>
      <c r="N6" s="66"/>
    </row>
    <row r="7" spans="2:17" x14ac:dyDescent="0.25">
      <c r="C7" s="1" t="s">
        <v>0</v>
      </c>
      <c r="D7" s="1" t="s">
        <v>2</v>
      </c>
      <c r="E7" s="1" t="s">
        <v>1</v>
      </c>
      <c r="F7" s="3" t="s">
        <v>0</v>
      </c>
      <c r="G7" s="3" t="s">
        <v>2</v>
      </c>
      <c r="H7" s="3" t="s">
        <v>1</v>
      </c>
      <c r="I7" s="3" t="s">
        <v>0</v>
      </c>
      <c r="J7" s="3" t="s">
        <v>2</v>
      </c>
      <c r="K7" s="3" t="s">
        <v>1</v>
      </c>
      <c r="L7" s="3" t="s">
        <v>0</v>
      </c>
      <c r="M7" s="3" t="s">
        <v>2</v>
      </c>
      <c r="N7" s="3" t="s">
        <v>1</v>
      </c>
    </row>
    <row r="8" spans="2:17" ht="15.75" thickBot="1" x14ac:dyDescent="0.3"/>
    <row r="9" spans="2:17" x14ac:dyDescent="0.25">
      <c r="B9" s="23" t="s">
        <v>17</v>
      </c>
      <c r="C9" s="23">
        <v>1400</v>
      </c>
      <c r="D9" s="24" t="s">
        <v>49</v>
      </c>
      <c r="E9" s="46"/>
      <c r="F9" s="23">
        <v>100000</v>
      </c>
      <c r="G9" s="10" t="s">
        <v>55</v>
      </c>
      <c r="H9" s="11"/>
      <c r="I9" s="23">
        <v>1200</v>
      </c>
      <c r="J9" s="24" t="s">
        <v>49</v>
      </c>
      <c r="K9" s="46"/>
      <c r="L9" s="25"/>
      <c r="M9" s="10"/>
      <c r="N9" s="26"/>
    </row>
    <row r="10" spans="2:17" ht="15.75" thickBot="1" x14ac:dyDescent="0.3">
      <c r="B10" s="34" t="s">
        <v>51</v>
      </c>
      <c r="C10" s="47">
        <f>C9*0.05</f>
        <v>70</v>
      </c>
      <c r="D10" s="28" t="s">
        <v>50</v>
      </c>
      <c r="E10" s="48"/>
      <c r="F10" s="17"/>
      <c r="G10" s="4"/>
      <c r="H10" s="9"/>
      <c r="I10" s="47">
        <f>+I9*0.1</f>
        <v>120</v>
      </c>
      <c r="J10" s="28" t="s">
        <v>49</v>
      </c>
      <c r="K10" s="48"/>
      <c r="L10" s="16"/>
      <c r="M10" s="4"/>
      <c r="N10" s="20"/>
    </row>
    <row r="11" spans="2:17" ht="15.75" thickTop="1" x14ac:dyDescent="0.25">
      <c r="B11" s="34" t="s">
        <v>52</v>
      </c>
      <c r="C11" s="27">
        <f>C9-C10</f>
        <v>1330</v>
      </c>
      <c r="D11" s="28" t="s">
        <v>49</v>
      </c>
      <c r="E11" s="48"/>
      <c r="F11" s="17"/>
      <c r="G11" s="4"/>
      <c r="H11" s="9"/>
      <c r="I11" s="27">
        <f>I9-I10</f>
        <v>1080</v>
      </c>
      <c r="J11" s="28" t="s">
        <v>50</v>
      </c>
      <c r="K11" s="48"/>
      <c r="L11" s="16"/>
      <c r="M11" s="4"/>
      <c r="N11" s="20"/>
    </row>
    <row r="12" spans="2:17" ht="15.75" thickBot="1" x14ac:dyDescent="0.3">
      <c r="B12" s="34"/>
      <c r="C12" s="27"/>
      <c r="D12" s="28"/>
      <c r="E12" s="48"/>
      <c r="F12" s="17"/>
      <c r="G12" s="4"/>
      <c r="H12" s="9"/>
      <c r="I12" s="27"/>
      <c r="J12" s="28"/>
      <c r="K12" s="48"/>
      <c r="L12" s="16"/>
      <c r="M12" s="4"/>
      <c r="N12" s="20"/>
    </row>
    <row r="13" spans="2:17" x14ac:dyDescent="0.25">
      <c r="B13" s="88" t="s">
        <v>48</v>
      </c>
      <c r="C13" s="85" t="s">
        <v>14</v>
      </c>
      <c r="D13" s="70"/>
      <c r="E13" s="71"/>
      <c r="F13" s="86" t="s">
        <v>15</v>
      </c>
      <c r="G13" s="5"/>
      <c r="H13" s="6"/>
      <c r="I13" s="85" t="s">
        <v>20</v>
      </c>
      <c r="J13" s="70"/>
      <c r="K13" s="46"/>
      <c r="L13" s="16"/>
      <c r="M13" s="4"/>
      <c r="N13" s="20"/>
    </row>
    <row r="14" spans="2:17" ht="15.75" thickBot="1" x14ac:dyDescent="0.3">
      <c r="B14" s="89" t="s">
        <v>4</v>
      </c>
      <c r="C14" s="87" t="s">
        <v>47</v>
      </c>
      <c r="D14" s="30"/>
      <c r="E14" s="49"/>
      <c r="F14" s="90" t="s">
        <v>53</v>
      </c>
      <c r="G14" s="7"/>
      <c r="H14" s="8"/>
      <c r="I14" s="29"/>
      <c r="J14" s="30"/>
      <c r="K14" s="49"/>
      <c r="L14" s="16"/>
      <c r="M14" s="4"/>
      <c r="N14" s="20"/>
    </row>
    <row r="15" spans="2:17" ht="15.75" thickBot="1" x14ac:dyDescent="0.3">
      <c r="B15" s="29" t="s">
        <v>54</v>
      </c>
      <c r="C15" s="29">
        <f>C11*1000/5</f>
        <v>266000</v>
      </c>
      <c r="D15" s="35">
        <v>12</v>
      </c>
      <c r="E15" s="49">
        <f>C15*D15</f>
        <v>3192000</v>
      </c>
      <c r="F15" s="29">
        <v>9000</v>
      </c>
      <c r="G15" s="30">
        <v>190</v>
      </c>
      <c r="H15" s="49">
        <f>+F15*G15</f>
        <v>1710000</v>
      </c>
      <c r="I15" s="29">
        <f>+I11*1000</f>
        <v>1080000</v>
      </c>
      <c r="J15" s="36">
        <v>2.7</v>
      </c>
      <c r="K15" s="49">
        <f>I15*J15</f>
        <v>2916000</v>
      </c>
      <c r="L15" s="39"/>
      <c r="M15" s="7"/>
      <c r="N15" s="59">
        <f>+K15+H15+E15</f>
        <v>7818000</v>
      </c>
      <c r="P15" s="21"/>
      <c r="Q15" s="21"/>
    </row>
    <row r="16" spans="2:17" ht="15.75" thickBot="1" x14ac:dyDescent="0.3">
      <c r="B16" s="22"/>
      <c r="C16" s="27"/>
      <c r="D16" s="28"/>
      <c r="E16" s="58">
        <f>+E15/N15</f>
        <v>0.40828856485034537</v>
      </c>
      <c r="F16" s="27"/>
      <c r="G16" s="28"/>
      <c r="H16" s="58">
        <f>+H15/N15</f>
        <v>0.21872601688411358</v>
      </c>
      <c r="I16" s="50"/>
      <c r="J16" s="51"/>
      <c r="K16" s="58">
        <f>+K15/N15</f>
        <v>0.37298541826554105</v>
      </c>
      <c r="N16" s="32">
        <f>SUM(E16:K16)</f>
        <v>1</v>
      </c>
    </row>
    <row r="17" spans="2:19" x14ac:dyDescent="0.25">
      <c r="B17" s="23" t="s">
        <v>22</v>
      </c>
      <c r="C17" s="23"/>
      <c r="D17" s="24"/>
      <c r="E17" s="46"/>
      <c r="F17" s="23"/>
      <c r="G17" s="24"/>
      <c r="H17" s="46"/>
      <c r="I17" s="23"/>
      <c r="J17" s="24"/>
      <c r="K17" s="46"/>
      <c r="L17" s="25"/>
      <c r="M17" s="10"/>
      <c r="N17" s="26"/>
    </row>
    <row r="18" spans="2:19" ht="15.75" thickBot="1" x14ac:dyDescent="0.3">
      <c r="B18" s="27" t="s">
        <v>9</v>
      </c>
      <c r="C18" s="27"/>
      <c r="D18" s="28"/>
      <c r="E18" s="48"/>
      <c r="F18" s="27"/>
      <c r="G18" s="28"/>
      <c r="H18" s="48"/>
      <c r="I18" s="27"/>
      <c r="J18" s="28"/>
      <c r="K18" s="48"/>
      <c r="L18" s="16"/>
      <c r="M18" s="4"/>
      <c r="N18" s="20"/>
    </row>
    <row r="19" spans="2:19" ht="15.75" thickBot="1" x14ac:dyDescent="0.3">
      <c r="B19" s="45" t="s">
        <v>10</v>
      </c>
      <c r="C19" s="29"/>
      <c r="D19" s="30"/>
      <c r="E19" s="49">
        <f>E16*N19</f>
        <v>1915200</v>
      </c>
      <c r="F19" s="29"/>
      <c r="G19" s="30"/>
      <c r="H19" s="49">
        <f>H16*N19</f>
        <v>1026000</v>
      </c>
      <c r="I19" s="29"/>
      <c r="J19" s="30"/>
      <c r="K19" s="49">
        <f>K16*N19</f>
        <v>1749600</v>
      </c>
      <c r="L19" s="40"/>
      <c r="M19" s="30"/>
      <c r="N19" s="41">
        <f>4690800</f>
        <v>4690800</v>
      </c>
      <c r="O19">
        <f>+E2/1000</f>
        <v>0</v>
      </c>
      <c r="P19" t="s">
        <v>56</v>
      </c>
      <c r="Q19" t="s">
        <v>57</v>
      </c>
      <c r="R19" s="91">
        <f>+N19/N15</f>
        <v>0.6</v>
      </c>
      <c r="S19" t="s">
        <v>58</v>
      </c>
    </row>
    <row r="20" spans="2:19" ht="15.75" thickBot="1" x14ac:dyDescent="0.3">
      <c r="B20" s="22"/>
      <c r="C20" s="27"/>
      <c r="D20" s="28"/>
      <c r="E20" s="48"/>
      <c r="F20" s="27"/>
      <c r="G20" s="28"/>
      <c r="H20" s="48"/>
      <c r="I20" s="27"/>
      <c r="J20" s="28"/>
      <c r="K20" s="48"/>
      <c r="O20" t="e">
        <f>+N19/O19</f>
        <v>#DIV/0!</v>
      </c>
      <c r="R20" t="s">
        <v>59</v>
      </c>
    </row>
    <row r="21" spans="2:19" x14ac:dyDescent="0.25">
      <c r="B21" s="23" t="s">
        <v>11</v>
      </c>
      <c r="C21" s="23"/>
      <c r="D21" s="24"/>
      <c r="E21" s="46">
        <v>950000</v>
      </c>
      <c r="F21" s="23">
        <v>100000</v>
      </c>
      <c r="G21" s="42">
        <f>3.4</f>
        <v>3.4</v>
      </c>
      <c r="H21" s="46">
        <f>+F21*G21</f>
        <v>340000</v>
      </c>
      <c r="I21" s="23">
        <v>1080</v>
      </c>
      <c r="J21" s="42">
        <f>12</f>
        <v>12</v>
      </c>
      <c r="K21" s="46">
        <f>+J21*I21</f>
        <v>12960</v>
      </c>
      <c r="L21" s="25"/>
      <c r="M21" s="10"/>
      <c r="N21" s="26"/>
    </row>
    <row r="22" spans="2:19" ht="15.75" thickBot="1" x14ac:dyDescent="0.3">
      <c r="B22" s="27" t="s">
        <v>21</v>
      </c>
      <c r="C22" s="27"/>
      <c r="D22" s="28"/>
      <c r="E22" s="48"/>
      <c r="F22" s="27">
        <f>F15</f>
        <v>9000</v>
      </c>
      <c r="G22" s="43">
        <f>44</f>
        <v>44</v>
      </c>
      <c r="H22" s="48">
        <f>+F22*G22</f>
        <v>396000</v>
      </c>
      <c r="I22" s="27">
        <f>+I21</f>
        <v>1080</v>
      </c>
      <c r="J22" s="44">
        <f>0.065*1000</f>
        <v>65</v>
      </c>
      <c r="K22" s="48">
        <f>+J22*I22</f>
        <v>70200</v>
      </c>
      <c r="L22" s="16"/>
      <c r="M22" s="4"/>
      <c r="N22" s="20"/>
    </row>
    <row r="23" spans="2:19" ht="15.75" thickBot="1" x14ac:dyDescent="0.3">
      <c r="B23" s="29"/>
      <c r="C23" s="29"/>
      <c r="D23" s="30"/>
      <c r="E23" s="60">
        <f>E21</f>
        <v>950000</v>
      </c>
      <c r="F23" s="29"/>
      <c r="G23" s="30"/>
      <c r="H23" s="60">
        <f>+H21+H22</f>
        <v>736000</v>
      </c>
      <c r="I23" s="29"/>
      <c r="J23" s="30"/>
      <c r="K23" s="60">
        <f>+K21+K22</f>
        <v>83160</v>
      </c>
      <c r="L23" s="31"/>
      <c r="M23" s="7"/>
      <c r="N23" s="62">
        <f>+E23+H23+K23</f>
        <v>1769160</v>
      </c>
    </row>
    <row r="24" spans="2:19" ht="15.75" thickBot="1" x14ac:dyDescent="0.3">
      <c r="B24" s="22"/>
      <c r="C24" s="27"/>
      <c r="D24" s="28"/>
      <c r="E24" s="48"/>
      <c r="F24" s="27"/>
      <c r="G24" s="28"/>
      <c r="H24" s="48"/>
      <c r="I24" s="27"/>
      <c r="J24" s="28"/>
      <c r="K24" s="48"/>
    </row>
    <row r="25" spans="2:19" ht="15.75" thickBot="1" x14ac:dyDescent="0.3">
      <c r="B25" s="52" t="s">
        <v>23</v>
      </c>
      <c r="C25" s="52"/>
      <c r="D25" s="53"/>
      <c r="E25" s="54">
        <f>E19+E21</f>
        <v>2865200</v>
      </c>
      <c r="F25" s="52"/>
      <c r="G25" s="53"/>
      <c r="H25" s="54">
        <f>H19+H21+H22</f>
        <v>1762000</v>
      </c>
      <c r="I25" s="52"/>
      <c r="J25" s="53"/>
      <c r="K25" s="54">
        <f>K19+K21+K22</f>
        <v>1832760</v>
      </c>
      <c r="N25" s="63">
        <f>N19+N23</f>
        <v>6459960</v>
      </c>
    </row>
    <row r="26" spans="2:19" ht="15.75" thickBot="1" x14ac:dyDescent="0.3">
      <c r="B26" s="22"/>
      <c r="C26" s="27"/>
      <c r="D26" s="28"/>
      <c r="E26" s="48"/>
      <c r="F26" s="27"/>
      <c r="G26" s="28"/>
      <c r="H26" s="48"/>
      <c r="I26" s="27"/>
      <c r="J26" s="28"/>
      <c r="K26" s="48"/>
    </row>
    <row r="27" spans="2:19" ht="15.75" thickBot="1" x14ac:dyDescent="0.3">
      <c r="B27" s="55" t="s">
        <v>13</v>
      </c>
      <c r="C27" s="55"/>
      <c r="D27" s="56"/>
      <c r="E27" s="57">
        <f>+E15-E25</f>
        <v>326800</v>
      </c>
      <c r="F27" s="55"/>
      <c r="G27" s="56"/>
      <c r="H27" s="57">
        <f>+H15-H25</f>
        <v>-52000</v>
      </c>
      <c r="I27" s="55"/>
      <c r="J27" s="56"/>
      <c r="K27" s="57">
        <f>+K15-K25</f>
        <v>1083240</v>
      </c>
      <c r="N27" s="63">
        <f>+N15-N25</f>
        <v>1358040</v>
      </c>
    </row>
    <row r="28" spans="2:19" ht="15.75" thickBot="1" x14ac:dyDescent="0.3"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2:19" ht="15.75" thickBot="1" x14ac:dyDescent="0.3">
      <c r="B29" s="22"/>
      <c r="C29" s="22"/>
      <c r="D29" s="22"/>
      <c r="E29" s="67">
        <f>E27/E15</f>
        <v>0.10238095238095238</v>
      </c>
      <c r="F29" s="68"/>
      <c r="G29" s="68"/>
      <c r="H29" s="67">
        <f>H27/H15</f>
        <v>-3.0409356725146199E-2</v>
      </c>
      <c r="I29" s="68"/>
      <c r="J29" s="68"/>
      <c r="K29" s="67">
        <f>K27/K15</f>
        <v>0.37148148148148147</v>
      </c>
      <c r="L29" s="69"/>
      <c r="M29" s="68"/>
      <c r="N29" s="67">
        <f>N27/N15</f>
        <v>0.17370683039140444</v>
      </c>
    </row>
    <row r="30" spans="2:19" x14ac:dyDescent="0.25"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2:19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4" spans="2:16" ht="15.75" thickBot="1" x14ac:dyDescent="0.3"/>
    <row r="35" spans="2:16" ht="15.75" thickBot="1" x14ac:dyDescent="0.3">
      <c r="E35" s="14" t="s">
        <v>5</v>
      </c>
      <c r="F35" s="13"/>
      <c r="G35" s="14" t="s">
        <v>16</v>
      </c>
      <c r="H35" s="13"/>
      <c r="I35" s="14" t="s">
        <v>28</v>
      </c>
      <c r="J35" s="13"/>
      <c r="L35" s="61" t="s">
        <v>60</v>
      </c>
    </row>
    <row r="36" spans="2:16" ht="15.75" thickBot="1" x14ac:dyDescent="0.3">
      <c r="L36" s="18"/>
    </row>
    <row r="37" spans="2:16" ht="15.75" thickBot="1" x14ac:dyDescent="0.3">
      <c r="E37" s="14" t="s">
        <v>24</v>
      </c>
      <c r="F37" s="33" t="s">
        <v>25</v>
      </c>
      <c r="G37" s="12" t="s">
        <v>26</v>
      </c>
      <c r="H37" s="33" t="s">
        <v>27</v>
      </c>
      <c r="I37" s="12" t="s">
        <v>29</v>
      </c>
      <c r="J37" s="33" t="s">
        <v>30</v>
      </c>
      <c r="L37" s="18"/>
    </row>
    <row r="38" spans="2:16" s="21" customFormat="1" ht="15.75" thickBot="1" x14ac:dyDescent="0.3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73" t="s">
        <v>44</v>
      </c>
      <c r="M38" s="22"/>
    </row>
    <row r="39" spans="2:16" s="21" customFormat="1" x14ac:dyDescent="0.25">
      <c r="B39" s="22"/>
      <c r="C39" s="22"/>
      <c r="D39" s="23" t="s">
        <v>31</v>
      </c>
      <c r="E39" s="23">
        <v>1400</v>
      </c>
      <c r="F39" s="46">
        <v>266000</v>
      </c>
      <c r="G39" s="23">
        <v>2000</v>
      </c>
      <c r="H39" s="46">
        <v>9000</v>
      </c>
      <c r="I39" s="24">
        <v>12000</v>
      </c>
      <c r="J39" s="46">
        <v>1080000</v>
      </c>
      <c r="K39" s="22"/>
      <c r="L39" s="73"/>
      <c r="M39" s="22"/>
    </row>
    <row r="40" spans="2:16" s="21" customFormat="1" x14ac:dyDescent="0.25">
      <c r="B40" s="22"/>
      <c r="C40" s="22"/>
      <c r="D40" s="34" t="s">
        <v>34</v>
      </c>
      <c r="E40" s="27"/>
      <c r="F40" s="48"/>
      <c r="G40" s="27"/>
      <c r="H40" s="48"/>
      <c r="I40" s="28"/>
      <c r="J40" s="48"/>
      <c r="K40" s="22"/>
      <c r="L40" s="73"/>
      <c r="M40" s="22"/>
    </row>
    <row r="41" spans="2:16" s="21" customFormat="1" ht="15.75" thickBot="1" x14ac:dyDescent="0.3">
      <c r="B41" s="22"/>
      <c r="C41" s="22"/>
      <c r="D41" s="29" t="s">
        <v>32</v>
      </c>
      <c r="E41" s="29">
        <v>2000</v>
      </c>
      <c r="F41" s="49">
        <v>12</v>
      </c>
      <c r="G41" s="29">
        <v>600</v>
      </c>
      <c r="H41" s="49">
        <v>190</v>
      </c>
      <c r="I41" s="30">
        <v>320</v>
      </c>
      <c r="J41" s="49">
        <v>2.7</v>
      </c>
      <c r="K41" s="22"/>
      <c r="L41" s="73" t="s">
        <v>45</v>
      </c>
      <c r="M41" s="22"/>
    </row>
    <row r="42" spans="2:16" s="21" customFormat="1" ht="15.75" thickBot="1" x14ac:dyDescent="0.3">
      <c r="B42" s="22"/>
      <c r="C42" s="22"/>
      <c r="D42" s="22"/>
      <c r="E42" s="27"/>
      <c r="F42" s="48"/>
      <c r="G42" s="27"/>
      <c r="H42" s="48"/>
      <c r="I42" s="22"/>
      <c r="J42" s="22"/>
      <c r="K42" s="22"/>
      <c r="L42" s="73"/>
      <c r="M42" s="22"/>
    </row>
    <row r="43" spans="2:16" s="21" customFormat="1" ht="15.75" thickBot="1" x14ac:dyDescent="0.3">
      <c r="B43" s="22"/>
      <c r="C43" s="22"/>
      <c r="D43" s="78" t="s">
        <v>33</v>
      </c>
      <c r="E43" s="52">
        <f>+E39*E41</f>
        <v>2800000</v>
      </c>
      <c r="F43" s="92">
        <f t="shared" ref="F43:J43" si="0">+F39*F41</f>
        <v>3192000</v>
      </c>
      <c r="G43" s="52">
        <f t="shared" si="0"/>
        <v>1200000</v>
      </c>
      <c r="H43" s="92">
        <f t="shared" si="0"/>
        <v>1710000</v>
      </c>
      <c r="I43" s="53">
        <f t="shared" si="0"/>
        <v>3840000</v>
      </c>
      <c r="J43" s="92">
        <f t="shared" si="0"/>
        <v>2916000</v>
      </c>
      <c r="K43" s="22"/>
      <c r="L43" s="73"/>
      <c r="M43" s="22"/>
      <c r="P43" s="21">
        <f>J43+F43+H43</f>
        <v>7818000</v>
      </c>
    </row>
    <row r="44" spans="2:16" s="21" customFormat="1" ht="15.75" thickBot="1" x14ac:dyDescent="0.3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73"/>
      <c r="M44" s="22"/>
    </row>
    <row r="45" spans="2:16" s="21" customFormat="1" x14ac:dyDescent="0.25">
      <c r="B45" s="22"/>
      <c r="C45" s="22"/>
      <c r="D45" s="23"/>
      <c r="E45" s="23"/>
      <c r="F45" s="46"/>
      <c r="G45" s="23"/>
      <c r="H45" s="46"/>
      <c r="I45" s="24"/>
      <c r="J45" s="46"/>
      <c r="K45" s="22"/>
      <c r="L45" s="73"/>
      <c r="M45" s="22"/>
    </row>
    <row r="46" spans="2:16" s="21" customFormat="1" x14ac:dyDescent="0.25">
      <c r="B46" s="22"/>
      <c r="C46" s="22"/>
      <c r="D46" s="27" t="s">
        <v>35</v>
      </c>
      <c r="E46" s="27"/>
      <c r="F46" s="48"/>
      <c r="G46" s="27"/>
      <c r="H46" s="48"/>
      <c r="I46" s="28"/>
      <c r="J46" s="48"/>
      <c r="K46" s="22"/>
      <c r="L46" s="73"/>
      <c r="M46" s="22"/>
    </row>
    <row r="47" spans="2:16" s="21" customFormat="1" x14ac:dyDescent="0.25">
      <c r="B47" s="22"/>
      <c r="C47" s="22"/>
      <c r="D47" s="27" t="s">
        <v>40</v>
      </c>
      <c r="E47" s="34">
        <v>0</v>
      </c>
      <c r="F47" s="93">
        <f>E21</f>
        <v>950000</v>
      </c>
      <c r="G47" s="27">
        <f>H21</f>
        <v>340000</v>
      </c>
      <c r="H47" s="93">
        <f>H23</f>
        <v>736000</v>
      </c>
      <c r="I47" s="28">
        <v>0</v>
      </c>
      <c r="J47" s="93">
        <f>K23</f>
        <v>83160</v>
      </c>
      <c r="K47" s="22"/>
      <c r="L47" s="73"/>
      <c r="M47" s="22"/>
    </row>
    <row r="48" spans="2:16" s="21" customFormat="1" x14ac:dyDescent="0.25">
      <c r="B48" s="22"/>
      <c r="C48" s="22"/>
      <c r="D48" s="27" t="s">
        <v>36</v>
      </c>
      <c r="E48" s="27">
        <v>0</v>
      </c>
      <c r="F48" s="48">
        <v>0</v>
      </c>
      <c r="G48" s="27">
        <f>G39*30</f>
        <v>60000</v>
      </c>
      <c r="H48" s="48">
        <v>0</v>
      </c>
      <c r="I48" s="28">
        <f>I39*70</f>
        <v>840000</v>
      </c>
      <c r="J48" s="48">
        <v>0</v>
      </c>
      <c r="K48" s="22"/>
      <c r="L48" s="73"/>
      <c r="M48" s="22"/>
    </row>
    <row r="49" spans="2:18" s="21" customFormat="1" ht="15.75" thickBot="1" x14ac:dyDescent="0.3">
      <c r="B49" s="22"/>
      <c r="C49" s="22"/>
      <c r="D49" s="29"/>
      <c r="E49" s="29"/>
      <c r="F49" s="49"/>
      <c r="G49" s="29"/>
      <c r="H49" s="49"/>
      <c r="I49" s="30"/>
      <c r="J49" s="49"/>
      <c r="K49" s="22"/>
      <c r="L49" s="73"/>
      <c r="M49" s="22"/>
    </row>
    <row r="50" spans="2:18" s="21" customFormat="1" ht="15.75" thickBot="1" x14ac:dyDescent="0.3">
      <c r="B50" s="22"/>
      <c r="C50" s="22"/>
      <c r="D50" s="22"/>
      <c r="E50" s="37"/>
      <c r="F50" s="37"/>
      <c r="G50" s="37"/>
      <c r="H50" s="37"/>
      <c r="I50" s="37"/>
      <c r="J50" s="37"/>
      <c r="K50" s="22"/>
      <c r="L50" s="74"/>
      <c r="M50" s="22"/>
    </row>
    <row r="51" spans="2:18" s="21" customFormat="1" ht="16.5" thickTop="1" thickBot="1" x14ac:dyDescent="0.3">
      <c r="B51" s="22"/>
      <c r="C51" s="22"/>
      <c r="D51" s="22"/>
      <c r="E51" s="22"/>
      <c r="F51" s="22"/>
      <c r="G51" s="22"/>
      <c r="H51" s="22"/>
      <c r="I51" s="22"/>
      <c r="J51" s="22"/>
      <c r="K51" s="22"/>
      <c r="M51" s="22"/>
    </row>
    <row r="52" spans="2:18" s="21" customFormat="1" ht="17.25" x14ac:dyDescent="0.4">
      <c r="B52" s="22"/>
      <c r="C52" s="22"/>
      <c r="D52" s="23" t="s">
        <v>37</v>
      </c>
      <c r="E52" s="82">
        <f>E43-E47-E48</f>
        <v>2800000</v>
      </c>
      <c r="F52" s="72">
        <f t="shared" ref="F52:J52" si="1">F43-F47-F48</f>
        <v>2242000</v>
      </c>
      <c r="G52" s="83">
        <f t="shared" si="1"/>
        <v>800000</v>
      </c>
      <c r="H52" s="84">
        <f t="shared" si="1"/>
        <v>974000</v>
      </c>
      <c r="I52" s="82">
        <f t="shared" si="1"/>
        <v>3000000</v>
      </c>
      <c r="J52" s="72">
        <f t="shared" si="1"/>
        <v>2832840</v>
      </c>
      <c r="K52" s="22"/>
      <c r="L52" s="75">
        <f>+I52+H52+E52</f>
        <v>6774000</v>
      </c>
      <c r="M52" s="22" t="s">
        <v>46</v>
      </c>
      <c r="N52" s="76">
        <f>+L52/(E43+H43+I43)</f>
        <v>0.81125748502994011</v>
      </c>
      <c r="P52" s="21" t="s">
        <v>43</v>
      </c>
      <c r="Q52" s="21">
        <f>+E43+H43+I43</f>
        <v>8350000</v>
      </c>
    </row>
    <row r="53" spans="2:18" s="21" customFormat="1" x14ac:dyDescent="0.25">
      <c r="B53" s="22"/>
      <c r="C53" s="22"/>
      <c r="D53" s="27" t="s">
        <v>38</v>
      </c>
      <c r="E53" s="27"/>
      <c r="F53" s="48"/>
      <c r="G53" s="27"/>
      <c r="H53" s="48"/>
      <c r="I53" s="27"/>
      <c r="J53" s="48"/>
      <c r="K53" s="22"/>
      <c r="L53" s="73"/>
      <c r="M53" s="22"/>
      <c r="N53" s="76"/>
    </row>
    <row r="54" spans="2:18" s="21" customFormat="1" ht="15.75" thickBot="1" x14ac:dyDescent="0.3">
      <c r="B54" s="22"/>
      <c r="C54" s="22"/>
      <c r="D54" s="29"/>
      <c r="E54" s="29" t="s">
        <v>41</v>
      </c>
      <c r="F54" s="49"/>
      <c r="G54" s="29"/>
      <c r="H54" s="49" t="s">
        <v>41</v>
      </c>
      <c r="I54" s="29" t="s">
        <v>41</v>
      </c>
      <c r="J54" s="49"/>
      <c r="K54" s="22"/>
      <c r="L54" s="74">
        <f>+J52+G52+F52</f>
        <v>5874840</v>
      </c>
      <c r="M54" s="22" t="s">
        <v>42</v>
      </c>
      <c r="N54" s="76">
        <f>+L54/(F43+G43+J43)</f>
        <v>0.80389162561576355</v>
      </c>
      <c r="P54" s="21" t="s">
        <v>43</v>
      </c>
      <c r="Q54" s="21">
        <f>+F43+G43+J43</f>
        <v>7308000</v>
      </c>
      <c r="R54" s="77">
        <f>+L54/Q54</f>
        <v>0.80389162561576355</v>
      </c>
    </row>
    <row r="55" spans="2:18" s="21" customFormat="1" ht="15.75" thickBot="1" x14ac:dyDescent="0.3">
      <c r="B55" s="22"/>
      <c r="C55" s="22"/>
      <c r="D55" s="22" t="s">
        <v>39</v>
      </c>
      <c r="E55" s="29"/>
      <c r="F55" s="49"/>
      <c r="G55" s="29"/>
      <c r="H55" s="49"/>
      <c r="I55" s="29"/>
      <c r="J55" s="49"/>
      <c r="K55" s="22"/>
      <c r="M55" s="22"/>
    </row>
    <row r="56" spans="2:18" ht="15.75" thickBot="1" x14ac:dyDescent="0.3">
      <c r="E56" s="80">
        <f>+E52/E43</f>
        <v>1</v>
      </c>
      <c r="F56" s="79">
        <f t="shared" ref="F56:J56" si="2">+F52/F43</f>
        <v>0.70238095238095233</v>
      </c>
      <c r="G56" s="80">
        <f t="shared" si="2"/>
        <v>0.66666666666666663</v>
      </c>
      <c r="H56" s="79">
        <f t="shared" si="2"/>
        <v>0.56959064327485376</v>
      </c>
      <c r="I56" s="79">
        <f t="shared" si="2"/>
        <v>0.78125</v>
      </c>
      <c r="J56" s="81">
        <f t="shared" si="2"/>
        <v>0.9714814814814815</v>
      </c>
    </row>
    <row r="57" spans="2:18" x14ac:dyDescent="0.25">
      <c r="L57" s="21">
        <f>+L52-L54</f>
        <v>899160</v>
      </c>
      <c r="M57" s="2" t="s">
        <v>3</v>
      </c>
      <c r="N57" s="76">
        <f>+N52-N54</f>
        <v>7.3658594141765565E-3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compost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SCILIEN</dc:creator>
  <cp:lastModifiedBy>scilien</cp:lastModifiedBy>
  <dcterms:created xsi:type="dcterms:W3CDTF">2013-04-12T08:15:01Z</dcterms:created>
  <dcterms:modified xsi:type="dcterms:W3CDTF">2016-03-17T22:58:10Z</dcterms:modified>
</cp:coreProperties>
</file>