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240" windowHeight="66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<sst xmlns="http://schemas.openxmlformats.org/spreadsheetml/2006/main" count="471" uniqueCount="237">
  <si>
    <t>Matière M1</t>
  </si>
  <si>
    <t xml:space="preserve">atelier </t>
  </si>
  <si>
    <t xml:space="preserve">usinage </t>
  </si>
  <si>
    <t>Matière M2</t>
  </si>
  <si>
    <t>anti corro</t>
  </si>
  <si>
    <t>perte de 2%</t>
  </si>
  <si>
    <t xml:space="preserve">fiche de stock de MP1 </t>
  </si>
  <si>
    <t>PF</t>
  </si>
  <si>
    <t xml:space="preserve">QUESTION 1 </t>
  </si>
  <si>
    <t xml:space="preserve">MP1 </t>
  </si>
  <si>
    <t xml:space="preserve">SI </t>
  </si>
  <si>
    <t xml:space="preserve">SI + E = S + SF </t>
  </si>
  <si>
    <t>inconnu E à calculer</t>
  </si>
  <si>
    <t xml:space="preserve">stock de MP1 </t>
  </si>
  <si>
    <t>Q</t>
  </si>
  <si>
    <t>PU</t>
  </si>
  <si>
    <t>T</t>
  </si>
  <si>
    <t xml:space="preserve">CD Achat </t>
  </si>
  <si>
    <t>atelier</t>
  </si>
  <si>
    <t>de prepa</t>
  </si>
  <si>
    <t>fiche de stock de PF</t>
  </si>
  <si>
    <t>CI Achat</t>
  </si>
  <si>
    <t>TOTAL</t>
  </si>
  <si>
    <t>E</t>
  </si>
  <si>
    <t>CD</t>
  </si>
  <si>
    <t xml:space="preserve">et CI </t>
  </si>
  <si>
    <t xml:space="preserve">CI </t>
  </si>
  <si>
    <t xml:space="preserve">et déchets </t>
  </si>
  <si>
    <t xml:space="preserve">CD+CI </t>
  </si>
  <si>
    <t xml:space="preserve">Encours </t>
  </si>
  <si>
    <t xml:space="preserve">fiche de stocks de MP1 </t>
  </si>
  <si>
    <t>S</t>
  </si>
  <si>
    <t>DIFF INV</t>
  </si>
  <si>
    <t xml:space="preserve">DIFF TAUX </t>
  </si>
  <si>
    <t xml:space="preserve">SF </t>
  </si>
  <si>
    <t xml:space="preserve">achat </t>
  </si>
  <si>
    <t>production</t>
  </si>
  <si>
    <t xml:space="preserve">vente </t>
  </si>
  <si>
    <t>prepa</t>
  </si>
  <si>
    <t>appro</t>
  </si>
  <si>
    <t>peinture</t>
  </si>
  <si>
    <t>distrib</t>
  </si>
  <si>
    <t>total</t>
  </si>
  <si>
    <t>Rep 2</t>
  </si>
  <si>
    <t>nature UO</t>
  </si>
  <si>
    <t xml:space="preserve">nbre UO </t>
  </si>
  <si>
    <t xml:space="preserve">cout UO </t>
  </si>
  <si>
    <t xml:space="preserve">cout arrondi </t>
  </si>
  <si>
    <t xml:space="preserve">écart </t>
  </si>
  <si>
    <t>13090 kg MP1</t>
  </si>
  <si>
    <t>QUESTION 2</t>
  </si>
  <si>
    <t xml:space="preserve">EN COURS INITIAL </t>
  </si>
  <si>
    <t>ENONCE</t>
  </si>
  <si>
    <t>matière</t>
  </si>
  <si>
    <t>mod</t>
  </si>
  <si>
    <t>CI</t>
  </si>
  <si>
    <t>conso</t>
  </si>
  <si>
    <t xml:space="preserve">- EN COURS FINAL </t>
  </si>
  <si>
    <t>X</t>
  </si>
  <si>
    <t xml:space="preserve">COUT PRODUCTION </t>
  </si>
  <si>
    <t xml:space="preserve">cout de production </t>
  </si>
  <si>
    <t xml:space="preserve">des encours finaux </t>
  </si>
  <si>
    <t xml:space="preserve">emballages </t>
  </si>
  <si>
    <t>4 u/kg</t>
  </si>
  <si>
    <t>52 000 u</t>
  </si>
  <si>
    <t>kgs</t>
  </si>
  <si>
    <t xml:space="preserve">CD et CI </t>
  </si>
  <si>
    <t>les encours finaux se retirent des couts de production, qui représentent les charges de la production terminée</t>
  </si>
  <si>
    <t xml:space="preserve">les encours initiaux se rajoutent aux couts de production, car ces encours sont finis sur la période </t>
  </si>
  <si>
    <t xml:space="preserve">comment valoriser la part matière des encours finaux ? </t>
  </si>
  <si>
    <t>méthode 1</t>
  </si>
  <si>
    <t xml:space="preserve">pas bonne </t>
  </si>
  <si>
    <t>prendre 260 kgs x 37 e</t>
  </si>
  <si>
    <t xml:space="preserve">méthode 2 </t>
  </si>
  <si>
    <t xml:space="preserve">bonne </t>
  </si>
  <si>
    <t>car n'integre pas les rebuts potentiels et non calée par rapport au standard</t>
  </si>
  <si>
    <t xml:space="preserve">quelle qté de MP consommée pour les EN Finaux ? </t>
  </si>
  <si>
    <t>pour 52.000 PF, je consomme 13.000 kgs au standard</t>
  </si>
  <si>
    <t>e/kgs</t>
  </si>
  <si>
    <t xml:space="preserve">pour 260 kgs, </t>
  </si>
  <si>
    <t xml:space="preserve">cela fait : </t>
  </si>
  <si>
    <t xml:space="preserve">arrondi </t>
  </si>
  <si>
    <t>principes</t>
  </si>
  <si>
    <t xml:space="preserve">donc </t>
  </si>
  <si>
    <t>donc</t>
  </si>
  <si>
    <t xml:space="preserve">le cout réel unitaire est donc de 483.330 euros / 13.020 kgs = </t>
  </si>
  <si>
    <t xml:space="preserve">la conso matière réelle du mois integre les encours </t>
  </si>
  <si>
    <t xml:space="preserve">meme si résultat proche </t>
  </si>
  <si>
    <t xml:space="preserve">260 kgs </t>
  </si>
  <si>
    <t xml:space="preserve">total </t>
  </si>
  <si>
    <t>les couts de production mesurent les couts de la PC (production complète)</t>
  </si>
  <si>
    <t xml:space="preserve">or, Eni + PC - Enf = 13.000 kgs </t>
  </si>
  <si>
    <t xml:space="preserve">PC = 13.000 - Eni + Enf = 13.020 kgs </t>
  </si>
  <si>
    <t>fiche de stocks de M2 peinture anti corrosion</t>
  </si>
  <si>
    <t xml:space="preserve">COUT ACHAT M2 </t>
  </si>
  <si>
    <t>fiche de stocks de produits PF</t>
  </si>
  <si>
    <t>ET</t>
  </si>
  <si>
    <t>ET : calculs Equivalents Terminés pour mod et CI</t>
  </si>
  <si>
    <t xml:space="preserve">pour la matière première, le traitement étant fait en amont de l'atelier, tous les encours sont 100 % complets coté Matière </t>
  </si>
  <si>
    <t xml:space="preserve">atelier usinage </t>
  </si>
  <si>
    <t>produit semi fini</t>
  </si>
  <si>
    <t xml:space="preserve">CUMP </t>
  </si>
  <si>
    <t>M2</t>
  </si>
  <si>
    <t>fiche de st</t>
  </si>
  <si>
    <t>atelier peinture</t>
  </si>
  <si>
    <t xml:space="preserve">pour la matière première, le traitement étant fait dans l'atelier, les encours suivent le taux de l'énoncé </t>
  </si>
  <si>
    <t>fiche de stocks de produits semi finis</t>
  </si>
  <si>
    <t xml:space="preserve">en kgs </t>
  </si>
  <si>
    <t xml:space="preserve">matière M2 </t>
  </si>
  <si>
    <t xml:space="preserve">produit semi fini </t>
  </si>
  <si>
    <t>fiche de stock PSF</t>
  </si>
  <si>
    <t xml:space="preserve">pas de SI et SF </t>
  </si>
  <si>
    <t>horaire</t>
  </si>
  <si>
    <t>Q / ou ET</t>
  </si>
  <si>
    <t xml:space="preserve">VENTES </t>
  </si>
  <si>
    <t>GROSSISTE</t>
  </si>
  <si>
    <t>VRAC INTRA</t>
  </si>
  <si>
    <t xml:space="preserve">TOTAL CA </t>
  </si>
  <si>
    <t>CPPV</t>
  </si>
  <si>
    <t xml:space="preserve">CD </t>
  </si>
  <si>
    <t xml:space="preserve">COUT DE REVIENT </t>
  </si>
  <si>
    <t>CMUP</t>
  </si>
  <si>
    <t>en nb de produits</t>
  </si>
  <si>
    <t>qtés stockées</t>
  </si>
  <si>
    <t>qté achetée</t>
  </si>
  <si>
    <t>MP1 apres trait</t>
  </si>
  <si>
    <t>déchets ?</t>
  </si>
  <si>
    <t>tolérance</t>
  </si>
  <si>
    <t>nb kgs stockées</t>
  </si>
  <si>
    <t xml:space="preserve">kgs </t>
  </si>
  <si>
    <t xml:space="preserve">achats </t>
  </si>
  <si>
    <t>MOD</t>
  </si>
  <si>
    <t xml:space="preserve">traitement </t>
  </si>
  <si>
    <t>- ventes déch</t>
  </si>
  <si>
    <t>énoncé</t>
  </si>
  <si>
    <t xml:space="preserve">MP ? </t>
  </si>
  <si>
    <t xml:space="preserve">= 13.000 - 240 + 260 </t>
  </si>
  <si>
    <t xml:space="preserve">= 13.020 kgs </t>
  </si>
  <si>
    <t xml:space="preserve">PC = 13.000 - Eni + Enf </t>
  </si>
  <si>
    <t xml:space="preserve">le cout réel unitaire est donc de 484.330 euros / 13.020 kgs = </t>
  </si>
  <si>
    <t>+</t>
  </si>
  <si>
    <t>=</t>
  </si>
  <si>
    <t>à recalculer</t>
  </si>
  <si>
    <t>pas assez</t>
  </si>
  <si>
    <t xml:space="preserve">trop </t>
  </si>
  <si>
    <t>à condit. Déchets stockés ?</t>
  </si>
  <si>
    <t xml:space="preserve">ET </t>
  </si>
  <si>
    <t>id</t>
  </si>
  <si>
    <t>120 kgs d'encours</t>
  </si>
  <si>
    <t xml:space="preserve">140 kgs d'encours </t>
  </si>
  <si>
    <t>kg encours</t>
  </si>
  <si>
    <t>%</t>
  </si>
  <si>
    <t xml:space="preserve">total SF </t>
  </si>
  <si>
    <t xml:space="preserve">Produit semi fini </t>
  </si>
  <si>
    <t>CUMP</t>
  </si>
  <si>
    <t xml:space="preserve">matières M2 </t>
  </si>
  <si>
    <t>M1</t>
  </si>
  <si>
    <t xml:space="preserve">cout achat </t>
  </si>
  <si>
    <t xml:space="preserve">MP1 traités </t>
  </si>
  <si>
    <t xml:space="preserve">cout de production usinage </t>
  </si>
  <si>
    <t xml:space="preserve">sous produit </t>
  </si>
  <si>
    <t xml:space="preserve">usinage avec EN </t>
  </si>
  <si>
    <t xml:space="preserve">peinture avec EN </t>
  </si>
  <si>
    <t xml:space="preserve">cout de production peinture </t>
  </si>
  <si>
    <t>charges distr</t>
  </si>
  <si>
    <t xml:space="preserve">cout de revient </t>
  </si>
  <si>
    <t>EC INIT</t>
  </si>
  <si>
    <t>ET pf</t>
  </si>
  <si>
    <t>PTF</t>
  </si>
  <si>
    <t xml:space="preserve">EC FINAL </t>
  </si>
  <si>
    <t>produits</t>
  </si>
  <si>
    <t xml:space="preserve">dont les 1.000 pdts d'encours </t>
  </si>
  <si>
    <t xml:space="preserve">PFT </t>
  </si>
  <si>
    <t>EC INI</t>
  </si>
  <si>
    <t>1000x20%</t>
  </si>
  <si>
    <t>EC FIN</t>
  </si>
  <si>
    <t>70 % et 60 %</t>
  </si>
  <si>
    <t>conso de peinture</t>
  </si>
  <si>
    <t xml:space="preserve">produits </t>
  </si>
  <si>
    <t>dont ceux EC INI</t>
  </si>
  <si>
    <t>cout de production atelier anti corrosion</t>
  </si>
  <si>
    <t>Pourquoi ? Énoncé</t>
  </si>
  <si>
    <t>Pourquoi ? Enoncé</t>
  </si>
  <si>
    <t xml:space="preserve">A COMPLETER </t>
  </si>
  <si>
    <t xml:space="preserve">CLIENT </t>
  </si>
  <si>
    <t xml:space="preserve">PRODUITS </t>
  </si>
  <si>
    <t xml:space="preserve">fiche de stocks de sachets </t>
  </si>
  <si>
    <t xml:space="preserve">fiche de stocks boites </t>
  </si>
  <si>
    <t xml:space="preserve">perte </t>
  </si>
  <si>
    <t xml:space="preserve">sachets </t>
  </si>
  <si>
    <t xml:space="preserve">boites </t>
  </si>
  <si>
    <t xml:space="preserve">ristourne </t>
  </si>
  <si>
    <t xml:space="preserve">TVA </t>
  </si>
  <si>
    <t xml:space="preserve">différence inventaire </t>
  </si>
  <si>
    <t>vente Emballa récup</t>
  </si>
  <si>
    <t xml:space="preserve">NET HT </t>
  </si>
  <si>
    <t>emball recup</t>
  </si>
  <si>
    <t>vente analytique</t>
  </si>
  <si>
    <t>rest analyt</t>
  </si>
  <si>
    <t>ristournes</t>
  </si>
  <si>
    <t>marges</t>
  </si>
  <si>
    <t>sur emball</t>
  </si>
  <si>
    <t>rest analyt retraité</t>
  </si>
  <si>
    <t>différence taux</t>
  </si>
  <si>
    <t>cout de production Atelier 1</t>
  </si>
  <si>
    <t xml:space="preserve">pour les </t>
  </si>
  <si>
    <t>prod. Terminés</t>
  </si>
  <si>
    <t>prod. Finis</t>
  </si>
  <si>
    <t>matières M2</t>
  </si>
  <si>
    <t xml:space="preserve">VOIR PAGE SUIVANTE </t>
  </si>
  <si>
    <t xml:space="preserve">en nb de sachets </t>
  </si>
  <si>
    <t>en nb de boites</t>
  </si>
  <si>
    <t xml:space="preserve">facultative </t>
  </si>
  <si>
    <t xml:space="preserve">52.000/4 kgs </t>
  </si>
  <si>
    <t xml:space="preserve">heures </t>
  </si>
  <si>
    <t xml:space="preserve">non demandés </t>
  </si>
  <si>
    <t xml:space="preserve">résultats </t>
  </si>
  <si>
    <t>demandés</t>
  </si>
  <si>
    <t xml:space="preserve">9000 u = 3000 sachets </t>
  </si>
  <si>
    <t>COUT DE REVIENT commande X</t>
  </si>
  <si>
    <t>COUT DE REVIENT (boite)</t>
  </si>
  <si>
    <t>CA CLIENT X (boites)</t>
  </si>
  <si>
    <t xml:space="preserve">Q </t>
  </si>
  <si>
    <t xml:space="preserve">cde X </t>
  </si>
  <si>
    <t xml:space="preserve">énoncé </t>
  </si>
  <si>
    <t>CA</t>
  </si>
  <si>
    <t>arrondi</t>
  </si>
  <si>
    <t>- EN INITI</t>
  </si>
  <si>
    <t xml:space="preserve">+ EN FINAUX </t>
  </si>
  <si>
    <t xml:space="preserve">= prod ET kgs </t>
  </si>
  <si>
    <t>Production complète standard</t>
  </si>
  <si>
    <t xml:space="preserve">conso MP1 en euros </t>
  </si>
  <si>
    <t xml:space="preserve">PU ou Prix </t>
  </si>
  <si>
    <t xml:space="preserve">livré au client </t>
  </si>
  <si>
    <t>COUT ACHAT DE M1</t>
  </si>
  <si>
    <t>CI distribution</t>
  </si>
  <si>
    <t xml:space="preserve">jscilien@parisnanterre.fr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</si>
</sst>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?\ &quot;€&quot;_-;_-@_-"/>
    <numFmt numFmtId="165" formatCode="_-* #,##0.00000\ &quot;€&quot;_-;\-* #,##0.00000\ &quot;€&quot;_-;_-* &quot;-&quot;?????\ &quot;€&quot;_-;_-@_-"/>
    <numFmt numFmtId="166" formatCode="#,##0.00_ ;\-#,##0.00\ "/>
    <numFmt numFmtId="167" formatCode="_-* #,##0.0000\ _€_-;\-* #,##0.0000\ _€_-;_-* &quot;-&quot;????\ _€_-;_-@_-"/>
    <numFmt numFmtId="168" formatCode="_-* #,##0.00000\ _€_-;\-* #,##0.00000\ _€_-;_-* &quot;-&quot;?????\ _€_-;_-@_-"/>
    <numFmt numFmtId="169" formatCode="_-* #,##0.000000\ &quot;€&quot;_-;\-* #,##0.000000\ &quot;€&quot;_-;_-* &quot;-&quot;??????\ &quot;€&quot;_-;_-@_-"/>
    <numFmt numFmtId="170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indexed="12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1"/>
      <color theme="10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0499899983406066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0" fontId="43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 quotePrefix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0" borderId="0" xfId="0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0" xfId="0" applyBorder="1" applyAlignment="1">
      <alignment horizontal="center"/>
    </xf>
    <xf numFmtId="41" fontId="0" fillId="0" borderId="24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6" xfId="0" applyBorder="1" applyAlignment="1">
      <alignment/>
    </xf>
    <xf numFmtId="44" fontId="0" fillId="0" borderId="24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47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4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2" fontId="0" fillId="0" borderId="24" xfId="0" applyNumberFormat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0" borderId="37" xfId="0" applyBorder="1" applyAlignment="1" quotePrefix="1">
      <alignment horizontal="center"/>
    </xf>
    <xf numFmtId="165" fontId="0" fillId="0" borderId="38" xfId="0" applyNumberForma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44" fontId="0" fillId="0" borderId="11" xfId="0" applyNumberFormat="1" applyBorder="1" applyAlignment="1">
      <alignment horizontal="center"/>
    </xf>
    <xf numFmtId="44" fontId="0" fillId="0" borderId="38" xfId="0" applyNumberFormat="1" applyBorder="1" applyAlignment="1">
      <alignment horizontal="center"/>
    </xf>
    <xf numFmtId="44" fontId="0" fillId="33" borderId="38" xfId="0" applyNumberFormat="1" applyFill="1" applyBorder="1" applyAlignment="1">
      <alignment horizontal="center"/>
    </xf>
    <xf numFmtId="0" fontId="0" fillId="0" borderId="48" xfId="0" applyBorder="1" applyAlignment="1">
      <alignment/>
    </xf>
    <xf numFmtId="165" fontId="0" fillId="0" borderId="11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42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/>
    </xf>
    <xf numFmtId="0" fontId="43" fillId="0" borderId="0" xfId="0" applyFont="1" applyAlignment="1">
      <alignment horizontal="center"/>
    </xf>
    <xf numFmtId="44" fontId="0" fillId="33" borderId="11" xfId="0" applyNumberFormat="1" applyFill="1" applyBorder="1" applyAlignment="1">
      <alignment horizontal="center"/>
    </xf>
    <xf numFmtId="42" fontId="0" fillId="0" borderId="39" xfId="0" applyNumberFormat="1" applyBorder="1" applyAlignment="1">
      <alignment horizontal="center"/>
    </xf>
    <xf numFmtId="42" fontId="0" fillId="0" borderId="10" xfId="0" applyNumberFormat="1" applyBorder="1" applyAlignment="1">
      <alignment horizontal="center"/>
    </xf>
    <xf numFmtId="42" fontId="0" fillId="33" borderId="39" xfId="0" applyNumberFormat="1" applyFill="1" applyBorder="1" applyAlignment="1">
      <alignment horizontal="center"/>
    </xf>
    <xf numFmtId="0" fontId="45" fillId="0" borderId="0" xfId="0" applyFont="1" applyAlignment="1">
      <alignment/>
    </xf>
    <xf numFmtId="42" fontId="46" fillId="33" borderId="39" xfId="44" applyNumberFormat="1" applyFont="1" applyFill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41" fontId="0" fillId="0" borderId="0" xfId="0" applyNumberFormat="1" applyAlignment="1">
      <alignment/>
    </xf>
    <xf numFmtId="0" fontId="0" fillId="33" borderId="38" xfId="0" applyFill="1" applyBorder="1" applyAlignment="1">
      <alignment horizontal="center"/>
    </xf>
    <xf numFmtId="44" fontId="0" fillId="0" borderId="24" xfId="0" applyNumberFormat="1" applyFill="1" applyBorder="1" applyAlignment="1">
      <alignment horizontal="center"/>
    </xf>
    <xf numFmtId="13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2" fontId="0" fillId="0" borderId="0" xfId="0" applyNumberFormat="1" applyAlignment="1">
      <alignment/>
    </xf>
    <xf numFmtId="0" fontId="0" fillId="34" borderId="24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9" borderId="37" xfId="0" applyFill="1" applyBorder="1" applyAlignment="1">
      <alignment horizontal="center"/>
    </xf>
    <xf numFmtId="41" fontId="0" fillId="9" borderId="38" xfId="0" applyNumberFormat="1" applyFill="1" applyBorder="1" applyAlignment="1">
      <alignment horizontal="center"/>
    </xf>
    <xf numFmtId="44" fontId="0" fillId="9" borderId="38" xfId="0" applyNumberFormat="1" applyFill="1" applyBorder="1" applyAlignment="1">
      <alignment horizontal="center"/>
    </xf>
    <xf numFmtId="42" fontId="0" fillId="9" borderId="38" xfId="0" applyNumberFormat="1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0" borderId="49" xfId="0" applyBorder="1" applyAlignment="1">
      <alignment horizontal="center"/>
    </xf>
    <xf numFmtId="41" fontId="0" fillId="9" borderId="39" xfId="0" applyNumberForma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41" fontId="0" fillId="0" borderId="52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42" fontId="0" fillId="0" borderId="53" xfId="0" applyNumberFormat="1" applyBorder="1" applyAlignment="1">
      <alignment horizontal="center"/>
    </xf>
    <xf numFmtId="42" fontId="0" fillId="0" borderId="47" xfId="0" applyNumberFormat="1" applyBorder="1" applyAlignment="1">
      <alignment horizontal="center"/>
    </xf>
    <xf numFmtId="42" fontId="0" fillId="0" borderId="32" xfId="0" applyNumberFormat="1" applyBorder="1" applyAlignment="1">
      <alignment horizontal="center"/>
    </xf>
    <xf numFmtId="42" fontId="0" fillId="35" borderId="44" xfId="0" applyNumberFormat="1" applyFill="1" applyBorder="1" applyAlignment="1">
      <alignment horizontal="center"/>
    </xf>
    <xf numFmtId="42" fontId="0" fillId="0" borderId="36" xfId="0" applyNumberForma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20" xfId="0" applyNumberFormat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2" fontId="0" fillId="0" borderId="3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42" fontId="0" fillId="0" borderId="56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42" fontId="0" fillId="0" borderId="58" xfId="0" applyNumberFormat="1" applyBorder="1" applyAlignment="1">
      <alignment horizontal="center"/>
    </xf>
    <xf numFmtId="42" fontId="47" fillId="0" borderId="38" xfId="0" applyNumberFormat="1" applyFont="1" applyBorder="1" applyAlignment="1">
      <alignment horizontal="center"/>
    </xf>
    <xf numFmtId="42" fontId="47" fillId="0" borderId="39" xfId="0" applyNumberFormat="1" applyFont="1" applyBorder="1" applyAlignment="1">
      <alignment horizontal="center"/>
    </xf>
    <xf numFmtId="44" fontId="0" fillId="0" borderId="14" xfId="0" applyNumberFormat="1" applyBorder="1" applyAlignment="1">
      <alignment horizontal="center"/>
    </xf>
    <xf numFmtId="0" fontId="0" fillId="0" borderId="29" xfId="0" applyBorder="1" applyAlignment="1" quotePrefix="1">
      <alignment horizontal="center"/>
    </xf>
    <xf numFmtId="43" fontId="0" fillId="0" borderId="24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47" fillId="0" borderId="0" xfId="0" applyFont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3" fillId="0" borderId="0" xfId="0" applyFont="1" applyAlignment="1">
      <alignment horizontal="left"/>
    </xf>
    <xf numFmtId="0" fontId="0" fillId="0" borderId="59" xfId="0" applyBorder="1" applyAlignment="1">
      <alignment horizontal="center"/>
    </xf>
    <xf numFmtId="0" fontId="0" fillId="0" borderId="0" xfId="0" applyFill="1" applyBorder="1" applyAlignment="1">
      <alignment horizontal="center"/>
    </xf>
    <xf numFmtId="42" fontId="0" fillId="0" borderId="4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9" fontId="0" fillId="0" borderId="44" xfId="0" applyNumberFormat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42" fontId="0" fillId="0" borderId="55" xfId="0" applyNumberFormat="1" applyBorder="1" applyAlignment="1">
      <alignment horizontal="center"/>
    </xf>
    <xf numFmtId="42" fontId="0" fillId="0" borderId="61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24" xfId="0" applyBorder="1" applyAlignment="1">
      <alignment/>
    </xf>
    <xf numFmtId="9" fontId="0" fillId="0" borderId="24" xfId="0" applyNumberFormat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0" fontId="50" fillId="0" borderId="0" xfId="0" applyFont="1" applyAlignment="1">
      <alignment horizontal="left"/>
    </xf>
    <xf numFmtId="41" fontId="0" fillId="0" borderId="38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2" fontId="0" fillId="35" borderId="11" xfId="0" applyNumberFormat="1" applyFill="1" applyBorder="1" applyAlignment="1">
      <alignment horizontal="center"/>
    </xf>
    <xf numFmtId="42" fontId="0" fillId="0" borderId="38" xfId="0" applyNumberFormat="1" applyBorder="1" applyAlignment="1">
      <alignment horizontal="center"/>
    </xf>
    <xf numFmtId="42" fontId="0" fillId="0" borderId="45" xfId="0" applyNumberFormat="1" applyBorder="1" applyAlignment="1">
      <alignment horizontal="center"/>
    </xf>
    <xf numFmtId="42" fontId="0" fillId="0" borderId="15" xfId="0" applyNumberFormat="1" applyBorder="1" applyAlignment="1">
      <alignment horizontal="center"/>
    </xf>
    <xf numFmtId="42" fontId="0" fillId="0" borderId="50" xfId="0" applyNumberFormat="1" applyBorder="1" applyAlignment="1">
      <alignment horizontal="center"/>
    </xf>
    <xf numFmtId="42" fontId="0" fillId="0" borderId="59" xfId="0" applyNumberForma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42" fontId="0" fillId="34" borderId="11" xfId="0" applyNumberFormat="1" applyFill="1" applyBorder="1" applyAlignment="1">
      <alignment horizontal="center"/>
    </xf>
    <xf numFmtId="9" fontId="0" fillId="0" borderId="40" xfId="0" applyNumberFormat="1" applyBorder="1" applyAlignment="1">
      <alignment horizontal="center"/>
    </xf>
    <xf numFmtId="0" fontId="0" fillId="0" borderId="62" xfId="0" applyBorder="1" applyAlignment="1">
      <alignment/>
    </xf>
    <xf numFmtId="0" fontId="0" fillId="33" borderId="10" xfId="0" applyFill="1" applyBorder="1" applyAlignment="1">
      <alignment/>
    </xf>
    <xf numFmtId="41" fontId="0" fillId="0" borderId="24" xfId="0" applyNumberFormat="1" applyBorder="1" applyAlignment="1">
      <alignment/>
    </xf>
    <xf numFmtId="41" fontId="0" fillId="0" borderId="39" xfId="0" applyNumberFormat="1" applyBorder="1" applyAlignment="1">
      <alignment/>
    </xf>
    <xf numFmtId="41" fontId="0" fillId="33" borderId="33" xfId="0" applyNumberFormat="1" applyFill="1" applyBorder="1" applyAlignment="1">
      <alignment/>
    </xf>
    <xf numFmtId="41" fontId="0" fillId="33" borderId="34" xfId="0" applyNumberFormat="1" applyFill="1" applyBorder="1" applyAlignment="1">
      <alignment/>
    </xf>
    <xf numFmtId="0" fontId="0" fillId="33" borderId="40" xfId="0" applyFill="1" applyBorder="1" applyAlignment="1">
      <alignment/>
    </xf>
    <xf numFmtId="41" fontId="0" fillId="34" borderId="33" xfId="0" applyNumberFormat="1" applyFill="1" applyBorder="1" applyAlignment="1">
      <alignment/>
    </xf>
    <xf numFmtId="0" fontId="0" fillId="34" borderId="40" xfId="0" applyFill="1" applyBorder="1" applyAlignment="1">
      <alignment/>
    </xf>
    <xf numFmtId="0" fontId="43" fillId="0" borderId="24" xfId="0" applyFont="1" applyBorder="1" applyAlignment="1">
      <alignment horizontal="center"/>
    </xf>
    <xf numFmtId="0" fontId="0" fillId="35" borderId="33" xfId="0" applyFill="1" applyBorder="1" applyAlignment="1">
      <alignment/>
    </xf>
    <xf numFmtId="0" fontId="0" fillId="35" borderId="40" xfId="0" applyFill="1" applyBorder="1" applyAlignment="1">
      <alignment/>
    </xf>
    <xf numFmtId="41" fontId="0" fillId="0" borderId="33" xfId="0" applyNumberFormat="1" applyBorder="1" applyAlignment="1">
      <alignment/>
    </xf>
    <xf numFmtId="41" fontId="0" fillId="0" borderId="40" xfId="0" applyNumberFormat="1" applyBorder="1" applyAlignment="1">
      <alignment/>
    </xf>
    <xf numFmtId="0" fontId="43" fillId="0" borderId="34" xfId="0" applyFont="1" applyBorder="1" applyAlignment="1">
      <alignment/>
    </xf>
    <xf numFmtId="41" fontId="43" fillId="0" borderId="34" xfId="0" applyNumberFormat="1" applyFont="1" applyBorder="1" applyAlignment="1">
      <alignment/>
    </xf>
    <xf numFmtId="0" fontId="43" fillId="0" borderId="40" xfId="0" applyFont="1" applyBorder="1" applyAlignment="1">
      <alignment/>
    </xf>
    <xf numFmtId="0" fontId="0" fillId="36" borderId="38" xfId="0" applyFill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34" fillId="0" borderId="0" xfId="44" applyAlignment="1">
      <alignment/>
    </xf>
    <xf numFmtId="0" fontId="0" fillId="36" borderId="11" xfId="0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43" fontId="0" fillId="0" borderId="11" xfId="0" applyNumberFormat="1" applyFill="1" applyBorder="1" applyAlignment="1">
      <alignment horizontal="center"/>
    </xf>
    <xf numFmtId="43" fontId="0" fillId="3" borderId="11" xfId="0" applyNumberFormat="1" applyFill="1" applyBorder="1" applyAlignment="1">
      <alignment horizontal="center"/>
    </xf>
    <xf numFmtId="0" fontId="47" fillId="0" borderId="51" xfId="0" applyFont="1" applyBorder="1" applyAlignment="1">
      <alignment/>
    </xf>
    <xf numFmtId="0" fontId="47" fillId="0" borderId="52" xfId="0" applyFont="1" applyBorder="1" applyAlignment="1">
      <alignment/>
    </xf>
    <xf numFmtId="0" fontId="47" fillId="0" borderId="59" xfId="0" applyFont="1" applyBorder="1" applyAlignment="1">
      <alignment/>
    </xf>
    <xf numFmtId="169" fontId="0" fillId="9" borderId="38" xfId="0" applyNumberFormat="1" applyFill="1" applyBorder="1" applyAlignment="1">
      <alignment horizontal="center"/>
    </xf>
    <xf numFmtId="44" fontId="0" fillId="34" borderId="24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9" borderId="38" xfId="0" applyNumberFormat="1" applyFill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0" fillId="0" borderId="0" xfId="0" applyNumberFormat="1" applyAlignment="1">
      <alignment horizontal="left"/>
    </xf>
    <xf numFmtId="41" fontId="0" fillId="0" borderId="37" xfId="0" applyNumberFormat="1" applyBorder="1" applyAlignment="1">
      <alignment horizontal="center"/>
    </xf>
    <xf numFmtId="41" fontId="0" fillId="0" borderId="44" xfId="0" applyNumberFormat="1" applyBorder="1" applyAlignment="1">
      <alignment horizontal="center"/>
    </xf>
    <xf numFmtId="41" fontId="0" fillId="0" borderId="36" xfId="0" applyNumberFormat="1" applyBorder="1" applyAlignment="1">
      <alignment horizontal="center"/>
    </xf>
    <xf numFmtId="41" fontId="0" fillId="0" borderId="0" xfId="0" applyNumberFormat="1" applyAlignment="1" quotePrefix="1">
      <alignment horizontal="left"/>
    </xf>
    <xf numFmtId="41" fontId="0" fillId="0" borderId="51" xfId="0" applyNumberFormat="1" applyBorder="1" applyAlignment="1" quotePrefix="1">
      <alignment horizontal="left"/>
    </xf>
    <xf numFmtId="9" fontId="0" fillId="0" borderId="63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9" fontId="0" fillId="0" borderId="34" xfId="0" applyNumberFormat="1" applyBorder="1" applyAlignment="1">
      <alignment horizontal="center"/>
    </xf>
    <xf numFmtId="41" fontId="0" fillId="36" borderId="60" xfId="0" applyNumberFormat="1" applyFill="1" applyBorder="1" applyAlignment="1">
      <alignment/>
    </xf>
    <xf numFmtId="0" fontId="0" fillId="0" borderId="62" xfId="0" applyBorder="1" applyAlignment="1" quotePrefix="1">
      <alignment horizontal="center"/>
    </xf>
    <xf numFmtId="10" fontId="0" fillId="0" borderId="19" xfId="0" applyNumberFormat="1" applyBorder="1" applyAlignment="1">
      <alignment horizontal="center"/>
    </xf>
    <xf numFmtId="10" fontId="0" fillId="0" borderId="64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42" fontId="0" fillId="0" borderId="65" xfId="0" applyNumberFormat="1" applyBorder="1" applyAlignment="1">
      <alignment horizontal="center"/>
    </xf>
    <xf numFmtId="0" fontId="43" fillId="0" borderId="13" xfId="0" applyFont="1" applyBorder="1" applyAlignment="1">
      <alignment horizontal="center"/>
    </xf>
    <xf numFmtId="42" fontId="43" fillId="0" borderId="17" xfId="0" applyNumberFormat="1" applyFont="1" applyBorder="1" applyAlignment="1">
      <alignment horizontal="center"/>
    </xf>
    <xf numFmtId="44" fontId="43" fillId="0" borderId="17" xfId="0" applyNumberFormat="1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41" fontId="0" fillId="34" borderId="24" xfId="0" applyNumberFormat="1" applyFill="1" applyBorder="1" applyAlignment="1">
      <alignment horizontal="center"/>
    </xf>
    <xf numFmtId="41" fontId="0" fillId="0" borderId="45" xfId="0" applyNumberFormat="1" applyBorder="1" applyAlignment="1">
      <alignment horizontal="center"/>
    </xf>
    <xf numFmtId="44" fontId="0" fillId="0" borderId="45" xfId="0" applyNumberFormat="1" applyBorder="1" applyAlignment="1">
      <alignment horizontal="center"/>
    </xf>
    <xf numFmtId="41" fontId="0" fillId="0" borderId="33" xfId="0" applyNumberFormat="1" applyBorder="1" applyAlignment="1">
      <alignment horizontal="right"/>
    </xf>
    <xf numFmtId="41" fontId="0" fillId="0" borderId="49" xfId="0" applyNumberFormat="1" applyBorder="1" applyAlignment="1">
      <alignment horizontal="center"/>
    </xf>
    <xf numFmtId="42" fontId="43" fillId="0" borderId="66" xfId="0" applyNumberFormat="1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42" fontId="0" fillId="0" borderId="17" xfId="0" applyNumberFormat="1" applyBorder="1" applyAlignment="1">
      <alignment horizontal="center"/>
    </xf>
    <xf numFmtId="44" fontId="0" fillId="0" borderId="27" xfId="0" applyNumberFormat="1" applyBorder="1" applyAlignment="1">
      <alignment horizontal="center"/>
    </xf>
    <xf numFmtId="44" fontId="0" fillId="0" borderId="48" xfId="0" applyNumberFormat="1" applyBorder="1" applyAlignment="1">
      <alignment horizontal="center"/>
    </xf>
    <xf numFmtId="44" fontId="0" fillId="0" borderId="47" xfId="0" applyNumberFormat="1" applyBorder="1" applyAlignment="1">
      <alignment horizontal="center"/>
    </xf>
    <xf numFmtId="44" fontId="0" fillId="0" borderId="32" xfId="0" applyNumberFormat="1" applyBorder="1" applyAlignment="1">
      <alignment horizontal="center"/>
    </xf>
    <xf numFmtId="41" fontId="0" fillId="0" borderId="26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0" fontId="0" fillId="0" borderId="67" xfId="0" applyBorder="1" applyAlignment="1">
      <alignment horizontal="left"/>
    </xf>
    <xf numFmtId="9" fontId="0" fillId="0" borderId="24" xfId="0" applyNumberFormat="1" applyBorder="1" applyAlignment="1">
      <alignment/>
    </xf>
    <xf numFmtId="0" fontId="0" fillId="0" borderId="0" xfId="0" applyBorder="1" applyAlignment="1">
      <alignment horizontal="left"/>
    </xf>
    <xf numFmtId="0" fontId="53" fillId="0" borderId="37" xfId="0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42" fontId="53" fillId="0" borderId="39" xfId="0" applyNumberFormat="1" applyFont="1" applyBorder="1" applyAlignment="1">
      <alignment horizontal="center"/>
    </xf>
    <xf numFmtId="42" fontId="53" fillId="0" borderId="38" xfId="0" applyNumberFormat="1" applyFont="1" applyBorder="1" applyAlignment="1">
      <alignment horizontal="center"/>
    </xf>
    <xf numFmtId="0" fontId="0" fillId="37" borderId="57" xfId="0" applyFill="1" applyBorder="1" applyAlignment="1">
      <alignment horizontal="center"/>
    </xf>
    <xf numFmtId="0" fontId="0" fillId="37" borderId="68" xfId="0" applyFill="1" applyBorder="1" applyAlignment="1">
      <alignment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5" xfId="0" applyFill="1" applyBorder="1" applyAlignment="1">
      <alignment horizontal="center"/>
    </xf>
    <xf numFmtId="41" fontId="0" fillId="0" borderId="55" xfId="0" applyNumberFormat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0" borderId="72" xfId="0" applyBorder="1" applyAlignment="1">
      <alignment horizontal="center"/>
    </xf>
    <xf numFmtId="41" fontId="0" fillId="0" borderId="73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41" fontId="0" fillId="0" borderId="33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74" xfId="0" applyNumberFormat="1" applyBorder="1" applyAlignment="1">
      <alignment horizontal="center"/>
    </xf>
    <xf numFmtId="42" fontId="0" fillId="0" borderId="74" xfId="0" applyNumberFormat="1" applyBorder="1" applyAlignment="1">
      <alignment horizontal="center"/>
    </xf>
    <xf numFmtId="168" fontId="0" fillId="0" borderId="74" xfId="0" applyNumberFormat="1" applyBorder="1" applyAlignment="1">
      <alignment horizontal="center"/>
    </xf>
    <xf numFmtId="10" fontId="0" fillId="0" borderId="75" xfId="0" applyNumberFormat="1" applyBorder="1" applyAlignment="1">
      <alignment horizontal="center"/>
    </xf>
    <xf numFmtId="10" fontId="0" fillId="0" borderId="63" xfId="0" applyNumberFormat="1" applyBorder="1" applyAlignment="1">
      <alignment horizontal="center"/>
    </xf>
    <xf numFmtId="0" fontId="0" fillId="37" borderId="44" xfId="0" applyFill="1" applyBorder="1" applyAlignment="1">
      <alignment/>
    </xf>
    <xf numFmtId="42" fontId="0" fillId="0" borderId="75" xfId="0" applyNumberFormat="1" applyBorder="1" applyAlignment="1">
      <alignment horizontal="center"/>
    </xf>
    <xf numFmtId="42" fontId="0" fillId="0" borderId="76" xfId="0" applyNumberFormat="1" applyBorder="1" applyAlignment="1">
      <alignment horizontal="center"/>
    </xf>
    <xf numFmtId="0" fontId="43" fillId="0" borderId="35" xfId="0" applyFont="1" applyBorder="1" applyAlignment="1">
      <alignment/>
    </xf>
    <xf numFmtId="42" fontId="43" fillId="0" borderId="36" xfId="0" applyNumberFormat="1" applyFont="1" applyBorder="1" applyAlignment="1">
      <alignment horizontal="center"/>
    </xf>
    <xf numFmtId="41" fontId="0" fillId="0" borderId="14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33" borderId="24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38" borderId="15" xfId="0" applyFill="1" applyBorder="1" applyAlignment="1">
      <alignment horizontal="center"/>
    </xf>
    <xf numFmtId="0" fontId="0" fillId="38" borderId="15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7" xfId="0" applyFill="1" applyBorder="1" applyAlignment="1">
      <alignment horizontal="center"/>
    </xf>
    <xf numFmtId="0" fontId="0" fillId="0" borderId="67" xfId="0" applyBorder="1" applyAlignment="1">
      <alignment horizontal="center"/>
    </xf>
    <xf numFmtId="164" fontId="0" fillId="34" borderId="67" xfId="0" applyNumberForma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42" fontId="0" fillId="33" borderId="67" xfId="0" applyNumberFormat="1" applyFill="1" applyBorder="1" applyAlignment="1">
      <alignment horizontal="center"/>
    </xf>
    <xf numFmtId="0" fontId="0" fillId="0" borderId="62" xfId="0" applyBorder="1" applyAlignment="1">
      <alignment horizontal="center"/>
    </xf>
    <xf numFmtId="42" fontId="47" fillId="0" borderId="0" xfId="0" applyNumberFormat="1" applyFont="1" applyBorder="1" applyAlignment="1">
      <alignment horizontal="center"/>
    </xf>
    <xf numFmtId="0" fontId="0" fillId="38" borderId="0" xfId="0" applyFill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42" fontId="0" fillId="34" borderId="14" xfId="0" applyNumberFormat="1" applyFill="1" applyBorder="1" applyAlignment="1">
      <alignment horizontal="center"/>
    </xf>
    <xf numFmtId="42" fontId="53" fillId="0" borderId="0" xfId="0" applyNumberFormat="1" applyFont="1" applyBorder="1" applyAlignment="1">
      <alignment horizontal="center"/>
    </xf>
    <xf numFmtId="0" fontId="0" fillId="0" borderId="64" xfId="0" applyBorder="1" applyAlignment="1">
      <alignment horizontal="center"/>
    </xf>
    <xf numFmtId="41" fontId="0" fillId="9" borderId="0" xfId="0" applyNumberForma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33" borderId="73" xfId="0" applyNumberFormat="1" applyFill="1" applyBorder="1" applyAlignment="1">
      <alignment horizontal="center"/>
    </xf>
    <xf numFmtId="44" fontId="0" fillId="34" borderId="11" xfId="0" applyNumberFormat="1" applyFill="1" applyBorder="1" applyAlignment="1">
      <alignment horizontal="center"/>
    </xf>
    <xf numFmtId="44" fontId="0" fillId="0" borderId="23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77" xfId="0" applyBorder="1" applyAlignment="1">
      <alignment/>
    </xf>
    <xf numFmtId="164" fontId="0" fillId="33" borderId="38" xfId="0" applyNumberForma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cilien@parisnanterre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44"/>
  <sheetViews>
    <sheetView tabSelected="1" zoomScale="124" zoomScaleNormal="124" zoomScalePageLayoutView="0" workbookViewId="0" topLeftCell="A1">
      <selection activeCell="C4" sqref="C4"/>
    </sheetView>
  </sheetViews>
  <sheetFormatPr defaultColWidth="11.421875" defaultRowHeight="15"/>
  <cols>
    <col min="2" max="2" width="28.28125" style="0" customWidth="1"/>
    <col min="3" max="3" width="28.140625" style="0" customWidth="1"/>
    <col min="4" max="4" width="16.7109375" style="0" customWidth="1"/>
    <col min="5" max="5" width="16.00390625" style="0" customWidth="1"/>
    <col min="6" max="6" width="14.28125" style="0" customWidth="1"/>
    <col min="7" max="7" width="15.140625" style="0" customWidth="1"/>
    <col min="8" max="8" width="22.140625" style="0" customWidth="1"/>
    <col min="9" max="9" width="28.8515625" style="0" customWidth="1"/>
    <col min="10" max="10" width="17.28125" style="0" customWidth="1"/>
    <col min="11" max="11" width="16.00390625" style="0" customWidth="1"/>
    <col min="12" max="12" width="1.57421875" style="0" customWidth="1"/>
    <col min="13" max="13" width="11.7109375" style="0" bestFit="1" customWidth="1"/>
    <col min="14" max="14" width="20.57421875" style="0" customWidth="1"/>
    <col min="15" max="15" width="14.8515625" style="0" customWidth="1"/>
    <col min="16" max="16" width="3.7109375" style="0" customWidth="1"/>
    <col min="17" max="17" width="12.8515625" style="0" bestFit="1" customWidth="1"/>
    <col min="21" max="21" width="16.28125" style="0" customWidth="1"/>
  </cols>
  <sheetData>
    <row r="2" spans="3:7" ht="15">
      <c r="C2" s="199" t="s">
        <v>236</v>
      </c>
      <c r="G2" s="199"/>
    </row>
    <row r="3" ht="15">
      <c r="D3" s="199"/>
    </row>
    <row r="5" ht="15.75" thickBot="1"/>
    <row r="6" spans="1:15" ht="15">
      <c r="A6" s="34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1:15" ht="15">
      <c r="A7" s="60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1"/>
    </row>
    <row r="8" spans="1:15" ht="15">
      <c r="A8" s="60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1"/>
    </row>
    <row r="9" spans="1:15" ht="15">
      <c r="A9" s="60"/>
      <c r="B9" s="36" t="s">
        <v>66</v>
      </c>
      <c r="C9" s="37"/>
      <c r="D9" s="102" t="s">
        <v>0</v>
      </c>
      <c r="E9" s="6"/>
      <c r="F9" s="6"/>
      <c r="G9" s="6"/>
      <c r="H9" s="6"/>
      <c r="I9" s="6"/>
      <c r="J9" s="102" t="s">
        <v>3</v>
      </c>
      <c r="K9" s="6"/>
      <c r="L9" s="6"/>
      <c r="M9" s="6"/>
      <c r="N9" s="6"/>
      <c r="O9" s="61"/>
    </row>
    <row r="10" spans="1:15" ht="15">
      <c r="A10" s="60"/>
      <c r="D10" s="4"/>
      <c r="E10" s="6"/>
      <c r="F10" s="6"/>
      <c r="G10" s="6"/>
      <c r="H10" s="6"/>
      <c r="I10" s="6"/>
      <c r="J10" s="4"/>
      <c r="K10" s="6"/>
      <c r="L10" s="6"/>
      <c r="M10" s="6"/>
      <c r="N10" s="6"/>
      <c r="O10" s="61"/>
    </row>
    <row r="11" spans="1:15" ht="15">
      <c r="A11" s="60"/>
      <c r="B11" s="6"/>
      <c r="C11" s="6"/>
      <c r="D11" s="4"/>
      <c r="E11" s="6"/>
      <c r="F11" s="6"/>
      <c r="G11" s="1" t="s">
        <v>28</v>
      </c>
      <c r="H11" s="6"/>
      <c r="I11" s="6"/>
      <c r="J11" s="1" t="s">
        <v>28</v>
      </c>
      <c r="K11" s="6"/>
      <c r="L11" s="6"/>
      <c r="M11" s="6"/>
      <c r="N11" s="6"/>
      <c r="O11" s="61"/>
    </row>
    <row r="12" spans="1:15" ht="15">
      <c r="A12" s="60"/>
      <c r="B12" s="6"/>
      <c r="C12" s="8"/>
      <c r="D12" s="4"/>
      <c r="E12" s="8"/>
      <c r="F12" s="6"/>
      <c r="G12" s="7" t="s">
        <v>29</v>
      </c>
      <c r="H12" s="6"/>
      <c r="I12" s="6"/>
      <c r="J12" s="7" t="s">
        <v>29</v>
      </c>
      <c r="K12" s="6"/>
      <c r="L12" s="6"/>
      <c r="M12" s="6"/>
      <c r="N12" s="6"/>
      <c r="O12" s="61"/>
    </row>
    <row r="13" spans="1:15" ht="15.75" thickBot="1">
      <c r="A13" s="60"/>
      <c r="B13" s="6"/>
      <c r="C13" s="6"/>
      <c r="D13" s="5"/>
      <c r="E13" s="8"/>
      <c r="F13" s="6" t="s">
        <v>56</v>
      </c>
      <c r="G13" s="2"/>
      <c r="H13" s="6"/>
      <c r="I13" s="6"/>
      <c r="J13" s="2"/>
      <c r="L13" s="8" t="s">
        <v>62</v>
      </c>
      <c r="M13" s="6"/>
      <c r="N13" s="6"/>
      <c r="O13" s="61"/>
    </row>
    <row r="14" spans="1:15" ht="15.75" thickBot="1">
      <c r="A14" s="60"/>
      <c r="B14" s="34" t="s">
        <v>24</v>
      </c>
      <c r="C14" s="38" t="s">
        <v>18</v>
      </c>
      <c r="D14" s="12"/>
      <c r="E14" s="11"/>
      <c r="F14" s="15" t="s">
        <v>49</v>
      </c>
      <c r="G14" s="38" t="s">
        <v>1</v>
      </c>
      <c r="H14" s="14"/>
      <c r="I14" s="80"/>
      <c r="J14" s="38" t="s">
        <v>1</v>
      </c>
      <c r="K14" s="14"/>
      <c r="L14" s="15"/>
      <c r="M14" s="56"/>
      <c r="N14" s="130" t="s">
        <v>7</v>
      </c>
      <c r="O14" s="61"/>
    </row>
    <row r="15" spans="1:15" ht="16.5" thickBot="1" thickTop="1">
      <c r="A15" s="60"/>
      <c r="B15" s="35" t="s">
        <v>25</v>
      </c>
      <c r="C15" s="39" t="s">
        <v>19</v>
      </c>
      <c r="D15" s="13" t="s">
        <v>5</v>
      </c>
      <c r="E15" s="6"/>
      <c r="F15" s="6"/>
      <c r="G15" s="39" t="s">
        <v>2</v>
      </c>
      <c r="H15" s="9"/>
      <c r="I15" s="6"/>
      <c r="J15" s="39" t="s">
        <v>4</v>
      </c>
      <c r="K15" s="6"/>
      <c r="L15" s="312"/>
      <c r="M15" s="6"/>
      <c r="N15" s="131" t="s">
        <v>233</v>
      </c>
      <c r="O15" s="61"/>
    </row>
    <row r="16" spans="1:15" ht="15">
      <c r="A16" s="60"/>
      <c r="B16" s="6"/>
      <c r="C16" s="6"/>
      <c r="D16" s="3"/>
      <c r="E16" s="6"/>
      <c r="F16" s="6"/>
      <c r="H16" s="10"/>
      <c r="I16" s="6"/>
      <c r="J16" s="17"/>
      <c r="K16" s="6"/>
      <c r="L16" s="4"/>
      <c r="M16" s="6"/>
      <c r="N16" s="58"/>
      <c r="O16" s="61"/>
    </row>
    <row r="17" spans="1:15" ht="15">
      <c r="A17" s="60"/>
      <c r="B17" s="6"/>
      <c r="C17" s="8" t="s">
        <v>9</v>
      </c>
      <c r="D17" s="4" t="s">
        <v>27</v>
      </c>
      <c r="E17" s="6"/>
      <c r="F17" s="6"/>
      <c r="H17" s="10"/>
      <c r="I17" s="6"/>
      <c r="J17" s="4"/>
      <c r="K17" s="6"/>
      <c r="L17" s="4"/>
      <c r="M17" s="6"/>
      <c r="N17" s="6"/>
      <c r="O17" s="61"/>
    </row>
    <row r="18" spans="1:15" ht="15">
      <c r="A18" s="60"/>
      <c r="B18" s="6"/>
      <c r="C18" s="6"/>
      <c r="D18" s="5"/>
      <c r="E18" s="6"/>
      <c r="F18" s="6"/>
      <c r="G18" s="6"/>
      <c r="H18" s="10"/>
      <c r="I18" s="6"/>
      <c r="J18" s="5"/>
      <c r="K18" s="6"/>
      <c r="L18" s="4"/>
      <c r="M18" s="6"/>
      <c r="N18" s="6"/>
      <c r="O18" s="61"/>
    </row>
    <row r="19" spans="1:15" ht="15">
      <c r="A19" s="60"/>
      <c r="B19" s="6"/>
      <c r="C19" s="3" t="s">
        <v>6</v>
      </c>
      <c r="D19" s="12"/>
      <c r="E19" s="6"/>
      <c r="F19" s="6"/>
      <c r="G19" s="3" t="s">
        <v>110</v>
      </c>
      <c r="H19" s="12"/>
      <c r="I19" s="6"/>
      <c r="J19" s="20" t="s">
        <v>103</v>
      </c>
      <c r="K19" s="6"/>
      <c r="L19" s="3" t="s">
        <v>20</v>
      </c>
      <c r="M19" s="12"/>
      <c r="N19" s="6"/>
      <c r="O19" s="61"/>
    </row>
    <row r="20" spans="1:15" ht="15">
      <c r="A20" s="60"/>
      <c r="B20" s="6"/>
      <c r="C20" s="4"/>
      <c r="D20" s="10"/>
      <c r="E20" s="6"/>
      <c r="F20" s="6"/>
      <c r="G20" s="4"/>
      <c r="H20" s="10" t="s">
        <v>212</v>
      </c>
      <c r="I20" s="6"/>
      <c r="J20" s="85" t="s">
        <v>102</v>
      </c>
      <c r="K20" s="6"/>
      <c r="L20" s="4"/>
      <c r="M20" s="10"/>
      <c r="O20" s="61"/>
    </row>
    <row r="21" spans="1:15" ht="15">
      <c r="A21" s="60"/>
      <c r="B21" s="6"/>
      <c r="C21" s="5"/>
      <c r="D21" s="13"/>
      <c r="E21" s="6"/>
      <c r="F21" s="6"/>
      <c r="G21" s="36" t="s">
        <v>111</v>
      </c>
      <c r="H21" s="86"/>
      <c r="I21" s="6"/>
      <c r="J21" s="21"/>
      <c r="K21" s="6"/>
      <c r="L21" s="5"/>
      <c r="M21" s="13"/>
      <c r="O21" s="61"/>
    </row>
    <row r="22" spans="1:15" ht="15.75" thickBot="1">
      <c r="A22" s="35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4" ht="15">
      <c r="C24" t="s">
        <v>8</v>
      </c>
    </row>
    <row r="25" ht="15">
      <c r="D25" s="180" t="s">
        <v>156</v>
      </c>
    </row>
    <row r="26" spans="4:5" ht="15">
      <c r="D26" s="3" t="s">
        <v>157</v>
      </c>
      <c r="E26" s="12"/>
    </row>
    <row r="27" spans="4:6" ht="15">
      <c r="D27" s="36" t="s">
        <v>158</v>
      </c>
      <c r="E27" s="37"/>
      <c r="F27" s="86"/>
    </row>
    <row r="28" spans="4:6" ht="15">
      <c r="D28" s="3" t="s">
        <v>161</v>
      </c>
      <c r="E28" s="179"/>
      <c r="F28" s="12"/>
    </row>
    <row r="29" spans="4:7" ht="15">
      <c r="D29" s="36" t="s">
        <v>159</v>
      </c>
      <c r="E29" s="37"/>
      <c r="F29" s="37"/>
      <c r="G29" s="86"/>
    </row>
    <row r="31" spans="4:7" ht="15">
      <c r="D31" s="36" t="s">
        <v>160</v>
      </c>
      <c r="E31" s="37"/>
      <c r="F31" s="37"/>
      <c r="G31" s="86"/>
    </row>
    <row r="32" spans="2:25" ht="15.75" thickBot="1">
      <c r="B32" s="16"/>
      <c r="C32" s="16"/>
      <c r="D32" s="180" t="s">
        <v>102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2:25" ht="15">
      <c r="B33" s="16"/>
      <c r="C33" s="16"/>
      <c r="D33" s="36" t="s">
        <v>162</v>
      </c>
      <c r="E33" s="37"/>
      <c r="F33" s="37"/>
      <c r="G33" s="86"/>
      <c r="H33" s="16"/>
      <c r="I33" s="16"/>
      <c r="J33" s="49" t="s">
        <v>35</v>
      </c>
      <c r="K33" s="50"/>
      <c r="L33" s="265"/>
      <c r="M33" s="49" t="s">
        <v>36</v>
      </c>
      <c r="N33" s="265"/>
      <c r="O33" s="53" t="s">
        <v>37</v>
      </c>
      <c r="Q33" s="127"/>
      <c r="R33" s="16"/>
      <c r="S33" s="16"/>
      <c r="T33" s="16"/>
      <c r="U33" s="16"/>
      <c r="V33" s="16"/>
      <c r="W33" s="16"/>
      <c r="X33" s="16"/>
      <c r="Y33" s="16"/>
    </row>
    <row r="34" spans="2:25" ht="15.75" thickBot="1">
      <c r="B34" s="16"/>
      <c r="C34" s="16"/>
      <c r="D34" s="36" t="s">
        <v>163</v>
      </c>
      <c r="E34" s="37"/>
      <c r="F34" s="37"/>
      <c r="G34" s="86"/>
      <c r="H34" s="16"/>
      <c r="I34" s="16"/>
      <c r="J34" s="259" t="s">
        <v>38</v>
      </c>
      <c r="K34" s="260" t="s">
        <v>39</v>
      </c>
      <c r="L34" s="299"/>
      <c r="M34" s="259" t="s">
        <v>2</v>
      </c>
      <c r="N34" s="229" t="s">
        <v>40</v>
      </c>
      <c r="O34" s="261" t="s">
        <v>41</v>
      </c>
      <c r="Q34" s="120" t="s">
        <v>42</v>
      </c>
      <c r="R34" s="16"/>
      <c r="S34" s="16"/>
      <c r="T34" s="16"/>
      <c r="U34" s="16"/>
      <c r="V34" s="16"/>
      <c r="W34" s="16"/>
      <c r="X34" s="16"/>
      <c r="Y34" s="16"/>
    </row>
    <row r="35" spans="2:25" ht="15.75" thickBot="1">
      <c r="B35" s="16"/>
      <c r="C35" s="16"/>
      <c r="H35" s="16"/>
      <c r="I35" s="41" t="s">
        <v>43</v>
      </c>
      <c r="J35" s="167">
        <v>95070</v>
      </c>
      <c r="K35" s="167">
        <v>256550</v>
      </c>
      <c r="L35" s="167"/>
      <c r="M35" s="167">
        <v>160470</v>
      </c>
      <c r="N35" s="266">
        <v>131980</v>
      </c>
      <c r="O35" s="271">
        <v>40560</v>
      </c>
      <c r="Q35" s="279">
        <f>SUM(J35:O35)</f>
        <v>684630</v>
      </c>
      <c r="R35" s="16"/>
      <c r="S35" s="16"/>
      <c r="T35" s="16"/>
      <c r="U35" s="16"/>
      <c r="V35" s="16"/>
      <c r="W35" s="16"/>
      <c r="X35" s="16"/>
      <c r="Y35" s="16"/>
    </row>
    <row r="36" spans="2:25" ht="15">
      <c r="B36" s="16"/>
      <c r="C36" s="16"/>
      <c r="D36" s="3" t="s">
        <v>164</v>
      </c>
      <c r="E36" s="179"/>
      <c r="F36" s="179"/>
      <c r="G36" s="12"/>
      <c r="H36" s="16"/>
      <c r="I36" s="133"/>
      <c r="J36" s="263"/>
      <c r="K36" s="263"/>
      <c r="L36" s="263"/>
      <c r="M36" s="263"/>
      <c r="N36" s="267"/>
      <c r="O36" s="216"/>
      <c r="Q36" s="135"/>
      <c r="R36" s="16"/>
      <c r="S36" s="16"/>
      <c r="T36" s="16"/>
      <c r="U36" s="16"/>
      <c r="V36" s="16"/>
      <c r="W36" s="16"/>
      <c r="X36" s="16"/>
      <c r="Y36" s="16"/>
    </row>
    <row r="37" spans="2:25" ht="15">
      <c r="B37" s="16"/>
      <c r="C37" s="16"/>
      <c r="D37" s="36" t="s">
        <v>165</v>
      </c>
      <c r="E37" s="37"/>
      <c r="F37" s="37"/>
      <c r="G37" s="37"/>
      <c r="H37" s="75"/>
      <c r="I37" s="25" t="s">
        <v>44</v>
      </c>
      <c r="J37" s="46" t="s">
        <v>124</v>
      </c>
      <c r="K37" s="46" t="s">
        <v>123</v>
      </c>
      <c r="L37" s="46"/>
      <c r="M37" s="46" t="s">
        <v>224</v>
      </c>
      <c r="N37" s="268" t="str">
        <f>M37</f>
        <v>énoncé </v>
      </c>
      <c r="O37" s="272" t="s">
        <v>225</v>
      </c>
      <c r="Q37" s="121"/>
      <c r="R37" s="16"/>
      <c r="S37" s="16"/>
      <c r="T37" s="16"/>
      <c r="U37" s="16"/>
      <c r="V37" s="16"/>
      <c r="W37" s="16"/>
      <c r="X37" s="16"/>
      <c r="Y37" s="16"/>
    </row>
    <row r="38" spans="2:25" ht="15">
      <c r="B38" s="16"/>
      <c r="C38" s="16"/>
      <c r="H38" s="16"/>
      <c r="I38" s="25"/>
      <c r="J38" s="46"/>
      <c r="K38" s="46"/>
      <c r="L38" s="46"/>
      <c r="M38" s="46"/>
      <c r="N38" s="268"/>
      <c r="O38" s="272"/>
      <c r="Q38" s="121"/>
      <c r="R38" s="16"/>
      <c r="S38" s="16"/>
      <c r="T38" s="16"/>
      <c r="U38" s="16"/>
      <c r="V38" s="16"/>
      <c r="W38" s="16"/>
      <c r="X38" s="16"/>
      <c r="Y38" s="16"/>
    </row>
    <row r="39" spans="2:25" ht="15">
      <c r="B39" s="16"/>
      <c r="C39" s="16"/>
      <c r="H39" s="16"/>
      <c r="I39" s="25" t="s">
        <v>45</v>
      </c>
      <c r="J39" s="46">
        <v>16500</v>
      </c>
      <c r="K39" s="142">
        <f>+K54</f>
        <v>14915</v>
      </c>
      <c r="L39" s="142"/>
      <c r="M39" s="46">
        <v>4520</v>
      </c>
      <c r="N39" s="268">
        <v>6600</v>
      </c>
      <c r="O39" s="273">
        <f>+T47</f>
        <v>2508600</v>
      </c>
      <c r="Q39" s="121"/>
      <c r="R39" s="16"/>
      <c r="S39" s="16"/>
      <c r="T39" s="16"/>
      <c r="U39" s="16"/>
      <c r="V39" s="16"/>
      <c r="W39" s="16"/>
      <c r="X39" s="16"/>
      <c r="Y39" s="16"/>
    </row>
    <row r="40" spans="2:25" ht="15">
      <c r="B40" s="16"/>
      <c r="C40" s="16"/>
      <c r="H40" s="16"/>
      <c r="I40" s="25"/>
      <c r="J40" s="46"/>
      <c r="K40" s="142"/>
      <c r="L40" s="142"/>
      <c r="M40" s="46"/>
      <c r="N40" s="268"/>
      <c r="O40" s="273"/>
      <c r="Q40" s="121"/>
      <c r="R40" s="16"/>
      <c r="S40" s="16"/>
      <c r="T40" s="16"/>
      <c r="U40" s="16"/>
      <c r="V40" s="16"/>
      <c r="W40" s="16"/>
      <c r="X40" s="16"/>
      <c r="Y40" s="16"/>
    </row>
    <row r="41" spans="2:25" ht="15">
      <c r="B41" s="16"/>
      <c r="C41" s="16"/>
      <c r="H41" s="16"/>
      <c r="I41" s="25" t="s">
        <v>46</v>
      </c>
      <c r="J41" s="143">
        <f>+J35/J39</f>
        <v>5.761818181818182</v>
      </c>
      <c r="K41" s="143">
        <f>+K35/K39</f>
        <v>17.20080455916862</v>
      </c>
      <c r="L41" s="143"/>
      <c r="M41" s="143">
        <f>M35/M39</f>
        <v>35.50221238938053</v>
      </c>
      <c r="N41" s="269">
        <f>N35/N39</f>
        <v>19.996969696969696</v>
      </c>
      <c r="O41" s="274">
        <f>O35/O39</f>
        <v>0.016168380770150682</v>
      </c>
      <c r="Q41" s="121">
        <f>(O41*O39)+(N39*N41)+(M39*M41)+(K39*K41)+(J39*J41)</f>
        <v>684630</v>
      </c>
      <c r="R41" s="16"/>
      <c r="S41" s="16">
        <v>1500</v>
      </c>
      <c r="T41" s="16"/>
      <c r="U41" s="16"/>
      <c r="V41" s="16"/>
      <c r="W41" s="16"/>
      <c r="X41" s="16"/>
      <c r="Y41" s="16"/>
    </row>
    <row r="42" spans="2:25" ht="15">
      <c r="B42" s="16"/>
      <c r="C42" s="16"/>
      <c r="H42" s="16"/>
      <c r="I42" s="25"/>
      <c r="J42" s="143"/>
      <c r="K42" s="143"/>
      <c r="L42" s="143"/>
      <c r="M42" s="143"/>
      <c r="N42" s="269"/>
      <c r="O42" s="274"/>
      <c r="Q42" s="121"/>
      <c r="R42" s="16"/>
      <c r="S42" s="16">
        <v>1490</v>
      </c>
      <c r="T42" s="16"/>
      <c r="U42" s="16"/>
      <c r="V42" s="16"/>
      <c r="W42" s="16"/>
      <c r="X42" s="16"/>
      <c r="Y42" s="16"/>
    </row>
    <row r="43" spans="2:25" ht="15.75" thickBot="1">
      <c r="B43" s="16"/>
      <c r="C43" s="16"/>
      <c r="H43" s="16"/>
      <c r="I43" s="51" t="s">
        <v>47</v>
      </c>
      <c r="J43" s="264">
        <v>5.76</v>
      </c>
      <c r="K43" s="264">
        <v>17.2</v>
      </c>
      <c r="L43" s="264"/>
      <c r="M43" s="136">
        <v>35.5</v>
      </c>
      <c r="N43" s="270">
        <v>20</v>
      </c>
      <c r="O43" s="275">
        <f>0.0162</f>
        <v>0.0162</v>
      </c>
      <c r="Q43" s="137">
        <f>(O39*O43)+(N39*N43)+(M39*M43)+(K39*K43)+(J39*J43)</f>
        <v>684677.3200000001</v>
      </c>
      <c r="R43" s="16"/>
      <c r="S43" s="16"/>
      <c r="T43" s="16">
        <f>+S42*S41</f>
        <v>2235000</v>
      </c>
      <c r="U43" s="16"/>
      <c r="V43" s="16"/>
      <c r="W43" s="16"/>
      <c r="X43" s="16"/>
      <c r="Y43" s="16"/>
    </row>
    <row r="44" spans="2:25" ht="15.75" thickBot="1">
      <c r="B44" s="16"/>
      <c r="C44" s="16"/>
      <c r="H44" s="152"/>
      <c r="I44" s="262"/>
      <c r="J44" s="262"/>
      <c r="K44" s="262"/>
      <c r="L44" s="262"/>
      <c r="M44" s="85"/>
      <c r="N44" s="104"/>
      <c r="O44" s="276"/>
      <c r="Q44" s="172"/>
      <c r="R44" s="16"/>
      <c r="S44" s="16">
        <v>7200</v>
      </c>
      <c r="T44" s="16"/>
      <c r="U44" s="16"/>
      <c r="V44" s="16"/>
      <c r="W44" s="16"/>
      <c r="X44" s="16"/>
      <c r="Y44" s="16"/>
    </row>
    <row r="45" spans="2:25" ht="15">
      <c r="B45" s="16"/>
      <c r="C45" s="16"/>
      <c r="H45" s="127" t="s">
        <v>48</v>
      </c>
      <c r="I45" s="133" t="s">
        <v>143</v>
      </c>
      <c r="J45" s="159">
        <f>(J41-J43)*J39</f>
        <v>30.000000000002025</v>
      </c>
      <c r="K45" s="159">
        <f>(K41-K43)*K39</f>
        <v>11.999999999985356</v>
      </c>
      <c r="L45" s="159"/>
      <c r="M45" s="159">
        <f>(M41-M43)*M39</f>
        <v>10.000000000002274</v>
      </c>
      <c r="N45" s="258"/>
      <c r="O45" s="277"/>
      <c r="Q45" s="280"/>
      <c r="R45" s="16"/>
      <c r="S45" s="16">
        <v>3800</v>
      </c>
      <c r="T45" s="16"/>
      <c r="U45" s="16"/>
      <c r="V45" s="16"/>
      <c r="W45" s="16"/>
      <c r="X45" s="16"/>
      <c r="Y45" s="16"/>
    </row>
    <row r="46" spans="2:25" ht="15.75" thickBot="1">
      <c r="B46" s="16"/>
      <c r="C46" s="16"/>
      <c r="H46" s="120"/>
      <c r="I46" s="51" t="s">
        <v>144</v>
      </c>
      <c r="J46" s="257"/>
      <c r="K46" s="257"/>
      <c r="L46" s="257"/>
      <c r="M46" s="257"/>
      <c r="N46" s="160">
        <f>(N41-N43)*N39</f>
        <v>-20.000000000005258</v>
      </c>
      <c r="O46" s="278">
        <f>(O41-O43)*O39</f>
        <v>-79.31999999999601</v>
      </c>
      <c r="Q46" s="281">
        <f>+M45+K45+J45+N46+O46</f>
        <v>-47.32000000001162</v>
      </c>
      <c r="R46" s="16"/>
      <c r="S46" s="16"/>
      <c r="T46" s="117">
        <f>(S44*S45)/100</f>
        <v>273600</v>
      </c>
      <c r="U46" s="16"/>
      <c r="V46" s="16"/>
      <c r="W46" s="16"/>
      <c r="X46" s="16"/>
      <c r="Y46" s="16"/>
    </row>
    <row r="47" spans="2:25" ht="15">
      <c r="B47" s="16"/>
      <c r="C47" s="16"/>
      <c r="H47" s="16"/>
      <c r="I47" s="16"/>
      <c r="J47" s="16"/>
      <c r="K47" s="286">
        <f>K39*K48</f>
        <v>11.999999999985356</v>
      </c>
      <c r="L47" s="286"/>
      <c r="M47" s="16"/>
      <c r="N47" s="128"/>
      <c r="O47" s="128"/>
      <c r="P47" s="16"/>
      <c r="Q47" s="16"/>
      <c r="R47" s="16"/>
      <c r="S47" s="16"/>
      <c r="T47" s="16">
        <f>T46+T43</f>
        <v>2508600</v>
      </c>
      <c r="U47" s="16"/>
      <c r="V47" s="16"/>
      <c r="W47" s="16"/>
      <c r="X47" s="16"/>
      <c r="Y47" s="16"/>
    </row>
    <row r="48" spans="2:25" ht="15">
      <c r="B48" s="16"/>
      <c r="C48" s="16"/>
      <c r="H48" s="16"/>
      <c r="I48" s="16"/>
      <c r="J48" s="16"/>
      <c r="K48" s="285">
        <f>K41-K43</f>
        <v>0.0008045591686212106</v>
      </c>
      <c r="L48" s="285"/>
      <c r="M48" s="16"/>
      <c r="N48" s="128"/>
      <c r="O48" s="128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5">
      <c r="B49" s="16"/>
      <c r="C49" s="16"/>
      <c r="H49" s="16"/>
      <c r="I49" s="16"/>
      <c r="J49" s="16"/>
      <c r="K49" s="16"/>
      <c r="L49" s="16"/>
      <c r="M49" s="16"/>
      <c r="N49" s="128"/>
      <c r="O49" s="128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2:25" ht="15.75" thickBot="1">
      <c r="B50" s="16"/>
      <c r="C50" s="16"/>
      <c r="H50" s="16"/>
      <c r="I50" s="16">
        <v>16500</v>
      </c>
      <c r="J50" s="16"/>
      <c r="K50" s="87" t="s">
        <v>125</v>
      </c>
      <c r="L50" s="87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2:25" ht="15.75" thickBot="1">
      <c r="B51" s="16"/>
      <c r="C51" s="16"/>
      <c r="H51" s="16"/>
      <c r="I51" s="16"/>
      <c r="J51" s="16"/>
      <c r="K51" s="16">
        <v>14700</v>
      </c>
      <c r="L51" s="16"/>
      <c r="M51" s="16"/>
      <c r="P51" s="114" t="s">
        <v>14</v>
      </c>
      <c r="Q51" s="114" t="s">
        <v>15</v>
      </c>
      <c r="R51" s="173" t="s">
        <v>16</v>
      </c>
      <c r="V51" s="16"/>
      <c r="W51" s="16"/>
      <c r="X51" s="16"/>
      <c r="Y51" s="16"/>
    </row>
    <row r="52" spans="2:25" ht="15.75" thickTop="1">
      <c r="B52" s="16"/>
      <c r="C52" s="16"/>
      <c r="H52" s="16"/>
      <c r="I52" s="16">
        <v>14700</v>
      </c>
      <c r="J52" s="16"/>
      <c r="K52" s="87" t="s">
        <v>102</v>
      </c>
      <c r="L52" s="87"/>
      <c r="M52" s="16"/>
      <c r="O52" s="92" t="s">
        <v>114</v>
      </c>
      <c r="R52" s="101"/>
      <c r="V52" s="16"/>
      <c r="W52" s="16"/>
      <c r="X52" s="16"/>
      <c r="Y52" s="16"/>
    </row>
    <row r="53" spans="2:25" ht="15.75" thickBot="1">
      <c r="B53" s="16"/>
      <c r="C53" s="16"/>
      <c r="E53" s="16"/>
      <c r="F53" s="16"/>
      <c r="G53" s="16"/>
      <c r="H53" s="16"/>
      <c r="I53" s="16"/>
      <c r="J53" s="16"/>
      <c r="K53" s="117">
        <v>215</v>
      </c>
      <c r="L53" s="28"/>
      <c r="M53" s="16"/>
      <c r="O53" t="s">
        <v>115</v>
      </c>
      <c r="P53" s="99">
        <v>1500</v>
      </c>
      <c r="Q53" s="98">
        <v>1490</v>
      </c>
      <c r="R53" s="101">
        <f>+Q53*P53</f>
        <v>2235000</v>
      </c>
      <c r="V53" s="16"/>
      <c r="W53" s="16"/>
      <c r="X53" s="16"/>
      <c r="Y53" s="16"/>
    </row>
    <row r="54" spans="2:25" ht="15.75" thickTop="1">
      <c r="B54" s="16"/>
      <c r="C54" s="16"/>
      <c r="D54" s="40"/>
      <c r="E54" s="16"/>
      <c r="F54" s="16"/>
      <c r="G54" s="16"/>
      <c r="H54" s="16"/>
      <c r="I54" s="16"/>
      <c r="J54" s="16"/>
      <c r="K54" s="118">
        <f>+K51+K53</f>
        <v>14915</v>
      </c>
      <c r="L54" s="118"/>
      <c r="M54" s="40" t="s">
        <v>129</v>
      </c>
      <c r="O54" t="s">
        <v>116</v>
      </c>
      <c r="P54" s="100">
        <v>7200</v>
      </c>
      <c r="Q54" s="98">
        <v>38</v>
      </c>
      <c r="R54" s="101">
        <f>+Q54*P54</f>
        <v>273600</v>
      </c>
      <c r="V54" s="16"/>
      <c r="W54" s="16"/>
      <c r="X54" s="16"/>
      <c r="Y54" s="16"/>
    </row>
    <row r="55" spans="2:25" ht="15.75" thickBot="1">
      <c r="B55" s="16"/>
      <c r="C55" s="16"/>
      <c r="D55" s="40"/>
      <c r="E55" s="16"/>
      <c r="F55" s="16"/>
      <c r="G55" s="16"/>
      <c r="H55" s="16"/>
      <c r="I55" s="16"/>
      <c r="J55" s="16"/>
      <c r="K55" s="16"/>
      <c r="L55" s="16"/>
      <c r="M55" s="16"/>
      <c r="P55" s="95"/>
      <c r="Q55" s="95"/>
      <c r="R55" s="101"/>
      <c r="V55" s="16"/>
      <c r="W55" s="16"/>
      <c r="X55" s="16"/>
      <c r="Y55" s="16"/>
    </row>
    <row r="56" spans="2:25" ht="15.75" thickBot="1">
      <c r="B56" s="16"/>
      <c r="C56" s="16"/>
      <c r="D56" s="40"/>
      <c r="E56" s="16"/>
      <c r="F56" s="16"/>
      <c r="G56" s="16"/>
      <c r="H56" s="16"/>
      <c r="I56" s="16"/>
      <c r="J56" s="16"/>
      <c r="K56" s="16" t="s">
        <v>126</v>
      </c>
      <c r="L56" s="16"/>
      <c r="M56" s="16"/>
      <c r="O56" s="115" t="s">
        <v>117</v>
      </c>
      <c r="P56" s="116"/>
      <c r="Q56" s="116"/>
      <c r="R56" s="174">
        <f>+R53+R54</f>
        <v>2508600</v>
      </c>
      <c r="V56" s="16"/>
      <c r="W56" s="16"/>
      <c r="X56" s="16"/>
      <c r="Y56" s="16"/>
    </row>
    <row r="57" spans="2:25" ht="15">
      <c r="B57" s="16"/>
      <c r="C57" s="16"/>
      <c r="D57" s="40"/>
      <c r="E57" s="16"/>
      <c r="F57" s="16"/>
      <c r="G57" s="16"/>
      <c r="H57" s="16"/>
      <c r="I57" s="16"/>
      <c r="J57" s="16"/>
      <c r="K57" s="118">
        <v>1470</v>
      </c>
      <c r="L57" s="118"/>
      <c r="M57" s="16"/>
      <c r="N57" s="16"/>
      <c r="Q57" s="16"/>
      <c r="U57" s="101"/>
      <c r="V57" s="16"/>
      <c r="W57" s="16"/>
      <c r="X57" s="16"/>
      <c r="Y57" s="16"/>
    </row>
    <row r="58" spans="2:25" ht="15">
      <c r="B58" s="16"/>
      <c r="C58" s="16"/>
      <c r="D58" s="40"/>
      <c r="E58" s="16"/>
      <c r="F58" s="16"/>
      <c r="G58" s="16"/>
      <c r="H58" s="16"/>
      <c r="I58" s="16"/>
      <c r="J58" s="16"/>
      <c r="K58" s="16"/>
      <c r="L58" s="16"/>
      <c r="M58" s="16"/>
      <c r="N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2:25" ht="15">
      <c r="B59" s="16"/>
      <c r="C59" s="16"/>
      <c r="D59" s="40"/>
      <c r="E59" s="16"/>
      <c r="F59" s="16"/>
      <c r="G59" s="16"/>
      <c r="H59" s="16"/>
      <c r="I59" s="16"/>
      <c r="J59" s="16"/>
      <c r="K59" s="16" t="s">
        <v>127</v>
      </c>
      <c r="L59" s="16"/>
      <c r="M59" s="16"/>
      <c r="N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2:25" ht="15">
      <c r="B60" s="16"/>
      <c r="C60" s="16"/>
      <c r="D60" s="40"/>
      <c r="E60" s="16"/>
      <c r="F60" s="16"/>
      <c r="G60" s="16"/>
      <c r="H60" s="16"/>
      <c r="I60" s="16"/>
      <c r="J60" s="16"/>
      <c r="K60" s="118">
        <f>K57+K54</f>
        <v>16385</v>
      </c>
      <c r="L60" s="118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2:25" ht="15">
      <c r="B61" s="16"/>
      <c r="C61" s="16"/>
      <c r="D61" s="40"/>
      <c r="E61" s="16"/>
      <c r="F61" s="16"/>
      <c r="G61" s="16"/>
      <c r="H61" s="16"/>
      <c r="I61" s="16"/>
      <c r="J61" s="16"/>
      <c r="K61" s="16" t="s">
        <v>128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2:25" ht="15">
      <c r="B62" s="16"/>
      <c r="C62" s="16"/>
      <c r="E62" s="16"/>
      <c r="F62" s="16"/>
      <c r="G62" s="16"/>
      <c r="H62" s="16"/>
      <c r="I62" s="16"/>
      <c r="J62" s="16"/>
      <c r="K62" s="16" t="s">
        <v>145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2:25" ht="15">
      <c r="B63" s="16"/>
      <c r="C63" s="16"/>
      <c r="D63" s="40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2:25" ht="15">
      <c r="B64" s="16"/>
      <c r="C64" s="16"/>
      <c r="D64" t="s">
        <v>13</v>
      </c>
      <c r="E64" s="18" t="s">
        <v>12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2:25" ht="15">
      <c r="B65" s="16"/>
      <c r="C65" s="16"/>
      <c r="D65" t="s">
        <v>11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2:25" ht="15">
      <c r="B66" s="16"/>
      <c r="C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2:25" ht="15">
      <c r="B67" s="16"/>
      <c r="C67" s="16"/>
      <c r="D67" t="s">
        <v>234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2:25" ht="15">
      <c r="B68" s="16"/>
      <c r="C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2:25" ht="15.75" thickBot="1">
      <c r="B69" s="16"/>
      <c r="C69" s="16"/>
      <c r="D69" s="20"/>
      <c r="E69" s="20" t="s">
        <v>14</v>
      </c>
      <c r="F69" s="20" t="s">
        <v>15</v>
      </c>
      <c r="G69" s="20" t="s">
        <v>16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2:25" ht="15">
      <c r="B70" s="16"/>
      <c r="C70" s="16"/>
      <c r="D70" s="287" t="s">
        <v>17</v>
      </c>
      <c r="E70" s="23"/>
      <c r="F70" s="23"/>
      <c r="G70" s="24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2:25" ht="15">
      <c r="B71" s="16"/>
      <c r="C71" s="16"/>
      <c r="D71" s="288"/>
      <c r="E71" s="28"/>
      <c r="F71" s="28"/>
      <c r="G71" s="289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2:25" ht="15">
      <c r="B72" s="16"/>
      <c r="C72" s="16"/>
      <c r="D72" s="25" t="s">
        <v>130</v>
      </c>
      <c r="E72" s="46">
        <v>16500</v>
      </c>
      <c r="F72" s="19">
        <v>12</v>
      </c>
      <c r="G72" s="121">
        <f>+F72*E72</f>
        <v>198000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2:25" ht="15">
      <c r="B73" s="16"/>
      <c r="C73" s="16"/>
      <c r="D73" s="26" t="s">
        <v>131</v>
      </c>
      <c r="E73" s="46">
        <v>400</v>
      </c>
      <c r="F73" s="19">
        <v>32</v>
      </c>
      <c r="G73" s="121">
        <f>+F73*E73</f>
        <v>12800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2:25" ht="15">
      <c r="B74" s="16"/>
      <c r="C74" s="16"/>
      <c r="D74" s="141"/>
      <c r="E74" s="211"/>
      <c r="F74" s="28"/>
      <c r="G74" s="122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2:25" ht="15">
      <c r="B75" s="16"/>
      <c r="C75" s="16"/>
      <c r="D75" s="288" t="s">
        <v>21</v>
      </c>
      <c r="E75" s="211"/>
      <c r="F75" s="28"/>
      <c r="G75" s="122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2:25" ht="15">
      <c r="B76" s="16"/>
      <c r="C76" s="16"/>
      <c r="D76" s="27"/>
      <c r="E76" s="211"/>
      <c r="F76" s="28"/>
      <c r="G76" s="122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2:25" ht="15">
      <c r="B77" s="16"/>
      <c r="C77" s="16"/>
      <c r="D77" s="25" t="s">
        <v>132</v>
      </c>
      <c r="E77" s="46">
        <v>16500</v>
      </c>
      <c r="F77" s="52">
        <f>+J43</f>
        <v>5.76</v>
      </c>
      <c r="G77" s="121">
        <f>+F77*E77</f>
        <v>95040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2:25" ht="15">
      <c r="B78" s="16"/>
      <c r="C78" s="16"/>
      <c r="D78" s="25"/>
      <c r="E78" s="46"/>
      <c r="F78" s="52"/>
      <c r="G78" s="121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2:25" ht="15">
      <c r="B79" s="16"/>
      <c r="C79" s="16"/>
      <c r="D79" s="25" t="s">
        <v>39</v>
      </c>
      <c r="E79" s="46">
        <v>14700</v>
      </c>
      <c r="F79" s="52">
        <f>+K43</f>
        <v>17.2</v>
      </c>
      <c r="G79" s="121">
        <f>+F79*E79</f>
        <v>252840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2:25" ht="15">
      <c r="B80" s="16"/>
      <c r="C80" s="16"/>
      <c r="D80" s="27"/>
      <c r="E80" s="211"/>
      <c r="F80" s="150"/>
      <c r="G80" s="151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2:25" ht="15">
      <c r="B81" s="16"/>
      <c r="C81" s="16"/>
      <c r="D81" s="27"/>
      <c r="E81" s="211"/>
      <c r="F81" s="28"/>
      <c r="G81" s="122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2:25" ht="15">
      <c r="B82" s="16"/>
      <c r="C82" s="16"/>
      <c r="D82" s="26" t="s">
        <v>133</v>
      </c>
      <c r="E82" s="46">
        <v>1470</v>
      </c>
      <c r="F82" s="19">
        <v>2.5</v>
      </c>
      <c r="G82" s="121">
        <f>F82*-E82</f>
        <v>-3675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2:25" ht="15">
      <c r="B83" s="16"/>
      <c r="C83" s="16"/>
      <c r="D83" s="141"/>
      <c r="E83" s="211"/>
      <c r="F83" s="28"/>
      <c r="G83" s="122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2:25" ht="15.75" thickBot="1">
      <c r="B84" s="16"/>
      <c r="C84" s="16"/>
      <c r="D84" s="29"/>
      <c r="E84" s="212"/>
      <c r="F84" s="30"/>
      <c r="G84" s="123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2:25" ht="15">
      <c r="B85" s="16"/>
      <c r="C85" s="16"/>
      <c r="D85" s="21" t="s">
        <v>22</v>
      </c>
      <c r="E85" s="48">
        <v>14700</v>
      </c>
      <c r="F85" s="140">
        <f>+G85/E85</f>
        <v>37.75544217687075</v>
      </c>
      <c r="G85" s="124">
        <f>SUM(G72:G82)</f>
        <v>555005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2:25" ht="15.75" thickBot="1">
      <c r="B86" s="16"/>
      <c r="C86" s="16"/>
      <c r="D86" s="16"/>
      <c r="E86" s="168"/>
      <c r="F86" s="16"/>
      <c r="G86" s="125" t="s">
        <v>23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2:25" ht="15">
      <c r="B87" s="16"/>
      <c r="C87" s="16"/>
      <c r="D87" s="40"/>
      <c r="E87" s="168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2:25" ht="15">
      <c r="B88" s="16"/>
      <c r="C88" s="16"/>
      <c r="D88" s="40"/>
      <c r="E88" s="168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2:25" ht="15">
      <c r="B89" s="16"/>
      <c r="C89" s="16"/>
      <c r="D89" s="40"/>
      <c r="E89" s="168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2:25" ht="15">
      <c r="B90" s="16"/>
      <c r="C90" s="16"/>
      <c r="D90" s="40"/>
      <c r="E90" s="168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2:25" ht="15">
      <c r="B91" s="16"/>
      <c r="C91" s="16"/>
      <c r="D91" s="40"/>
      <c r="E91" s="168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2:25" ht="15">
      <c r="B92" s="16"/>
      <c r="C92" s="16"/>
      <c r="D92" s="40"/>
      <c r="E92" s="168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2:25" ht="15">
      <c r="B93" s="16"/>
      <c r="C93" s="16"/>
      <c r="D93" s="40"/>
      <c r="E93" s="168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2:25" ht="28.5">
      <c r="B94" s="16"/>
      <c r="C94" s="16"/>
      <c r="D94" s="153" t="s">
        <v>30</v>
      </c>
      <c r="E94" s="16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2:25" ht="15.75" thickBot="1">
      <c r="B95" s="16"/>
      <c r="C95" s="16"/>
      <c r="D95" s="40"/>
      <c r="E95" s="16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2:25" ht="15.75" thickBot="1">
      <c r="B96" s="16"/>
      <c r="C96" s="16"/>
      <c r="D96" s="41"/>
      <c r="E96" s="167" t="s">
        <v>14</v>
      </c>
      <c r="F96" s="42" t="s">
        <v>15</v>
      </c>
      <c r="G96" s="42" t="s">
        <v>16</v>
      </c>
      <c r="H96" s="42"/>
      <c r="I96" s="42" t="s">
        <v>14</v>
      </c>
      <c r="J96" s="42" t="s">
        <v>15</v>
      </c>
      <c r="K96" s="43" t="s">
        <v>16</v>
      </c>
      <c r="L96" s="28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2:25" ht="15">
      <c r="B97" s="16"/>
      <c r="C97" s="16"/>
      <c r="D97" s="103"/>
      <c r="E97" s="213"/>
      <c r="F97" s="85"/>
      <c r="G97" s="85"/>
      <c r="H97" s="85"/>
      <c r="I97" s="104"/>
      <c r="J97" s="130" t="s">
        <v>182</v>
      </c>
      <c r="K97" s="128"/>
      <c r="L97" s="128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2:25" ht="15.75" thickBot="1">
      <c r="B98" s="16"/>
      <c r="C98" s="16"/>
      <c r="D98" s="21" t="s">
        <v>10</v>
      </c>
      <c r="E98" s="48">
        <v>2000</v>
      </c>
      <c r="F98" s="77">
        <f>+G98/E98</f>
        <v>32.2825</v>
      </c>
      <c r="G98" s="84">
        <v>64565</v>
      </c>
      <c r="H98" s="126" t="s">
        <v>31</v>
      </c>
      <c r="I98" s="282">
        <v>13090</v>
      </c>
      <c r="J98" s="131">
        <v>37</v>
      </c>
      <c r="K98" s="129">
        <f>J98*I98</f>
        <v>484330</v>
      </c>
      <c r="L98" s="128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2:25" ht="15.75" thickBot="1">
      <c r="B99" s="16"/>
      <c r="C99" s="16"/>
      <c r="D99" s="19"/>
      <c r="E99" s="46"/>
      <c r="F99" s="57"/>
      <c r="G99" s="67"/>
      <c r="H99" s="20"/>
      <c r="I99" s="70"/>
      <c r="J99" s="85"/>
      <c r="K99" s="90"/>
      <c r="L99" s="128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2:25" ht="15">
      <c r="B100" s="16"/>
      <c r="C100" s="16"/>
      <c r="D100" s="19"/>
      <c r="E100" s="46"/>
      <c r="F100" s="57"/>
      <c r="G100" s="132"/>
      <c r="H100" s="133" t="s">
        <v>32</v>
      </c>
      <c r="I100" s="263">
        <v>10</v>
      </c>
      <c r="J100" s="134">
        <v>37</v>
      </c>
      <c r="K100" s="135">
        <f>J100*I100</f>
        <v>370</v>
      </c>
      <c r="L100" s="128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2:25" ht="15.75" thickBot="1">
      <c r="B101" s="16"/>
      <c r="C101" s="16"/>
      <c r="D101" s="19"/>
      <c r="E101" s="46"/>
      <c r="F101" s="57"/>
      <c r="G101" s="132"/>
      <c r="H101" s="51" t="s">
        <v>33</v>
      </c>
      <c r="I101" s="283">
        <f>I98+I100</f>
        <v>13100</v>
      </c>
      <c r="J101" s="136">
        <v>0.1</v>
      </c>
      <c r="K101" s="137">
        <f>J101*I101</f>
        <v>1310</v>
      </c>
      <c r="L101" s="128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2:25" ht="15">
      <c r="B102" s="16"/>
      <c r="C102" s="16"/>
      <c r="D102" s="19"/>
      <c r="E102" s="46"/>
      <c r="F102" s="57"/>
      <c r="G102" s="67"/>
      <c r="H102" s="21"/>
      <c r="I102" s="48"/>
      <c r="J102" s="21"/>
      <c r="K102" s="84"/>
      <c r="L102" s="128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2:25" ht="15">
      <c r="B103" s="16"/>
      <c r="C103" s="16"/>
      <c r="D103" s="19"/>
      <c r="E103" s="46"/>
      <c r="F103" s="57"/>
      <c r="G103" s="67"/>
      <c r="H103" s="19"/>
      <c r="I103" s="284" t="s">
        <v>181</v>
      </c>
      <c r="J103" s="19"/>
      <c r="K103" s="67"/>
      <c r="L103" s="128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2:25" ht="15">
      <c r="B104" s="16"/>
      <c r="C104" s="16"/>
      <c r="D104" s="19" t="s">
        <v>23</v>
      </c>
      <c r="E104" s="46">
        <v>14700</v>
      </c>
      <c r="F104" s="57">
        <f>+G104/E104</f>
        <v>37.75544217687075</v>
      </c>
      <c r="G104" s="67">
        <f>+G85</f>
        <v>555005</v>
      </c>
      <c r="H104" s="19" t="s">
        <v>34</v>
      </c>
      <c r="I104" s="284">
        <v>3600</v>
      </c>
      <c r="J104" s="19">
        <v>37.1</v>
      </c>
      <c r="K104" s="67">
        <f>+J104*I104</f>
        <v>133560</v>
      </c>
      <c r="L104" s="128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2:25" ht="15.75" thickBot="1">
      <c r="B105" s="16"/>
      <c r="C105" s="16"/>
      <c r="D105" s="20"/>
      <c r="E105" s="70"/>
      <c r="F105" s="20"/>
      <c r="G105" s="90"/>
      <c r="H105" s="20"/>
      <c r="I105" s="70"/>
      <c r="J105" s="20"/>
      <c r="K105" s="90"/>
      <c r="L105" s="128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2:25" ht="19.5" thickBot="1">
      <c r="B106" s="16"/>
      <c r="C106" s="16"/>
      <c r="D106" s="41" t="s">
        <v>22</v>
      </c>
      <c r="E106" s="167">
        <f>+E104+E98</f>
        <v>16700</v>
      </c>
      <c r="F106" s="96">
        <f>+G106/E106</f>
        <v>37.1</v>
      </c>
      <c r="G106" s="138">
        <f>+G104+G98</f>
        <v>619570</v>
      </c>
      <c r="H106" s="42" t="s">
        <v>22</v>
      </c>
      <c r="I106" s="167">
        <f>+I104+I98+I100</f>
        <v>16700</v>
      </c>
      <c r="J106" s="42">
        <f>+K106/I106</f>
        <v>37.1</v>
      </c>
      <c r="K106" s="139">
        <f>SUM(K97:K104)</f>
        <v>619570</v>
      </c>
      <c r="L106" s="300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2:25" ht="15">
      <c r="B107" s="16"/>
      <c r="C107" s="16"/>
      <c r="D107" s="16"/>
      <c r="E107" s="168"/>
      <c r="F107" s="16"/>
      <c r="G107" s="16"/>
      <c r="H107" s="16"/>
      <c r="I107" s="168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2:25" ht="15">
      <c r="B108" s="16"/>
      <c r="C108" s="16"/>
      <c r="D108" s="16"/>
      <c r="E108" s="16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2:25" ht="15">
      <c r="B109" s="16"/>
      <c r="C109" s="16" t="s">
        <v>50</v>
      </c>
      <c r="D109" s="16"/>
      <c r="E109" s="16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2:25" ht="15">
      <c r="B110" s="16"/>
      <c r="C110" s="16"/>
      <c r="D110" s="16"/>
      <c r="E110" s="16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2:25" ht="15">
      <c r="B111" s="16"/>
      <c r="C111" s="16"/>
      <c r="D111" s="16"/>
      <c r="E111" s="16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2:25" ht="15">
      <c r="B112" s="16"/>
      <c r="D112" s="148" t="s">
        <v>97</v>
      </c>
      <c r="E112" s="16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2:25" ht="15">
      <c r="B113" s="16"/>
      <c r="D113" s="148"/>
      <c r="E113" s="16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2:25" ht="15">
      <c r="B114" s="16"/>
      <c r="C114" s="16"/>
      <c r="D114" s="148" t="s">
        <v>98</v>
      </c>
      <c r="E114" s="16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2:25" ht="15">
      <c r="B115" s="16"/>
      <c r="C115" s="16"/>
      <c r="D115" s="148"/>
      <c r="E115" s="16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2:25" ht="15">
      <c r="B116" s="16"/>
      <c r="C116" s="16"/>
      <c r="D116" s="148"/>
      <c r="E116" s="16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2:25" ht="15">
      <c r="B117" s="16"/>
      <c r="C117" s="16"/>
      <c r="D117" s="148"/>
      <c r="E117" s="16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2:25" ht="21">
      <c r="B118" s="16"/>
      <c r="C118" s="16"/>
      <c r="D118" s="154" t="s">
        <v>60</v>
      </c>
      <c r="E118" s="16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2:25" ht="18.75">
      <c r="B119" s="16"/>
      <c r="C119" s="16"/>
      <c r="D119" s="145" t="s">
        <v>61</v>
      </c>
      <c r="E119" s="214" t="s">
        <v>99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2:25" ht="15.75" thickBot="1">
      <c r="B120" s="16"/>
      <c r="C120" s="16"/>
      <c r="D120" s="16"/>
      <c r="E120" s="16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2:25" ht="15.75" thickBot="1">
      <c r="B121" s="16"/>
      <c r="C121" s="16"/>
      <c r="D121" s="16"/>
      <c r="E121" s="215" t="s">
        <v>14</v>
      </c>
      <c r="F121" s="42" t="s">
        <v>15</v>
      </c>
      <c r="G121" s="43" t="s">
        <v>16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2:25" ht="15.75" thickBot="1">
      <c r="B122" s="16"/>
      <c r="C122" s="158" t="s">
        <v>140</v>
      </c>
      <c r="D122" s="75" t="s">
        <v>53</v>
      </c>
      <c r="E122" s="216" t="s">
        <v>96</v>
      </c>
      <c r="F122" s="146" t="s">
        <v>142</v>
      </c>
      <c r="G122" s="21"/>
      <c r="H122" s="16" t="str">
        <f>D122</f>
        <v>matière</v>
      </c>
      <c r="I122" s="162" t="s">
        <v>146</v>
      </c>
      <c r="J122" s="19">
        <v>260</v>
      </c>
      <c r="K122" s="164">
        <v>1</v>
      </c>
      <c r="L122" s="221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.75" thickBot="1">
      <c r="B123" s="16"/>
      <c r="C123" s="19"/>
      <c r="D123" s="75"/>
      <c r="E123" s="217"/>
      <c r="F123" s="147"/>
      <c r="G123" s="21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.75" thickBot="1">
      <c r="B124" s="16"/>
      <c r="C124" s="19"/>
      <c r="D124" s="45"/>
      <c r="E124" s="48"/>
      <c r="F124" s="32"/>
      <c r="G124" s="21"/>
      <c r="H124" s="16"/>
      <c r="I124" s="16"/>
      <c r="J124" s="19" t="s">
        <v>150</v>
      </c>
      <c r="K124" s="19" t="s">
        <v>151</v>
      </c>
      <c r="L124" s="19"/>
      <c r="M124" s="19" t="s">
        <v>96</v>
      </c>
      <c r="N124" s="19" t="s">
        <v>42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.75" thickBot="1">
      <c r="B125" s="16"/>
      <c r="C125" s="158" t="s">
        <v>140</v>
      </c>
      <c r="D125" s="45" t="s">
        <v>54</v>
      </c>
      <c r="E125" s="46" t="s">
        <v>96</v>
      </c>
      <c r="F125" s="19"/>
      <c r="G125" s="19"/>
      <c r="H125" s="16" t="str">
        <f>D125</f>
        <v>mod</v>
      </c>
      <c r="I125" s="162" t="s">
        <v>96</v>
      </c>
      <c r="J125" s="19">
        <v>120</v>
      </c>
      <c r="K125" s="19">
        <v>0.2</v>
      </c>
      <c r="L125" s="19"/>
      <c r="M125" s="19">
        <f>K125*J125</f>
        <v>24</v>
      </c>
      <c r="N125" s="28">
        <f>+M125+M126</f>
        <v>94</v>
      </c>
      <c r="O125" s="19">
        <v>0.3</v>
      </c>
      <c r="P125" s="24">
        <f>O125*N125</f>
        <v>28.2</v>
      </c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.75" thickBot="1">
      <c r="B126" s="16"/>
      <c r="C126" s="19"/>
      <c r="D126" s="45"/>
      <c r="E126" s="46"/>
      <c r="F126" s="19"/>
      <c r="G126" s="19"/>
      <c r="H126" s="16"/>
      <c r="I126" s="16"/>
      <c r="J126" s="19">
        <v>140</v>
      </c>
      <c r="K126" s="19">
        <v>0.5</v>
      </c>
      <c r="L126" s="19"/>
      <c r="M126" s="19">
        <f>K126*J126</f>
        <v>70</v>
      </c>
      <c r="N126" s="31" t="s">
        <v>96</v>
      </c>
      <c r="O126" s="16"/>
      <c r="P126" s="120" t="s">
        <v>214</v>
      </c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.75" thickBot="1">
      <c r="B127" s="16"/>
      <c r="C127" s="19"/>
      <c r="D127" s="45"/>
      <c r="E127" s="46"/>
      <c r="F127" s="19"/>
      <c r="G127" s="19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.75" thickBot="1">
      <c r="B128" s="16"/>
      <c r="C128" s="158" t="s">
        <v>140</v>
      </c>
      <c r="D128" s="156" t="s">
        <v>55</v>
      </c>
      <c r="E128" s="46" t="s">
        <v>96</v>
      </c>
      <c r="F128" s="19"/>
      <c r="G128" s="19"/>
      <c r="H128" s="16" t="str">
        <f>D128</f>
        <v>CI</v>
      </c>
      <c r="I128" s="162" t="s">
        <v>96</v>
      </c>
      <c r="J128" s="19" t="s">
        <v>147</v>
      </c>
      <c r="K128" s="19" t="s">
        <v>147</v>
      </c>
      <c r="L128" s="19"/>
      <c r="M128" s="19" t="s">
        <v>147</v>
      </c>
      <c r="N128" s="19">
        <v>94</v>
      </c>
      <c r="O128" s="19" t="s">
        <v>147</v>
      </c>
      <c r="P128" s="19" t="s">
        <v>147</v>
      </c>
      <c r="Q128" s="28"/>
      <c r="R128" s="16"/>
      <c r="S128" s="16"/>
      <c r="T128" s="16"/>
      <c r="U128" s="16"/>
      <c r="V128" s="16"/>
      <c r="W128" s="16"/>
      <c r="X128" s="16"/>
      <c r="Y128" s="16"/>
    </row>
    <row r="129" spans="2:25" ht="15.75" thickBot="1">
      <c r="B129" s="16"/>
      <c r="C129" s="19"/>
      <c r="D129" s="47"/>
      <c r="E129" s="70"/>
      <c r="F129" s="20"/>
      <c r="G129" s="20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.75" thickBot="1">
      <c r="B130" s="16"/>
      <c r="C130" s="158" t="s">
        <v>141</v>
      </c>
      <c r="D130" s="157" t="s">
        <v>89</v>
      </c>
      <c r="E130" s="167"/>
      <c r="F130" s="42"/>
      <c r="G130" s="71" t="s">
        <v>58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E133" s="16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E134" s="16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t="s">
        <v>135</v>
      </c>
      <c r="E136" s="214" t="s">
        <v>77</v>
      </c>
      <c r="F136" s="16"/>
      <c r="G136" s="16"/>
      <c r="H136" s="16"/>
      <c r="I136" s="19"/>
      <c r="J136" s="19" t="s">
        <v>14</v>
      </c>
      <c r="K136" s="19" t="s">
        <v>15</v>
      </c>
      <c r="L136" s="19"/>
      <c r="M136" s="19" t="s">
        <v>16</v>
      </c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.75" thickBot="1">
      <c r="B137" s="16"/>
      <c r="C137" s="16"/>
      <c r="E137" s="214"/>
      <c r="F137" s="16"/>
      <c r="G137" s="16"/>
      <c r="H137" s="16"/>
      <c r="I137" s="229"/>
      <c r="J137" s="20"/>
      <c r="K137" s="20"/>
      <c r="L137" s="47"/>
      <c r="M137" s="47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.75" thickBot="1">
      <c r="B138" s="16"/>
      <c r="C138" s="16"/>
      <c r="E138" s="214" t="s">
        <v>91</v>
      </c>
      <c r="F138" s="16"/>
      <c r="G138" s="16"/>
      <c r="H138" s="16"/>
      <c r="I138" s="104" t="s">
        <v>231</v>
      </c>
      <c r="J138" s="291"/>
      <c r="K138" s="297"/>
      <c r="L138" s="301"/>
      <c r="M138" s="298">
        <f>K98</f>
        <v>484330</v>
      </c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E139" s="214"/>
      <c r="F139" s="16"/>
      <c r="G139" s="16"/>
      <c r="H139" s="16"/>
      <c r="I139" s="104"/>
      <c r="J139" s="85"/>
      <c r="K139" s="85"/>
      <c r="L139" s="103"/>
      <c r="M139" s="103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E140" s="214" t="s">
        <v>138</v>
      </c>
      <c r="F140" s="16"/>
      <c r="G140" s="16"/>
      <c r="H140" s="16"/>
      <c r="I140" s="4" t="s">
        <v>230</v>
      </c>
      <c r="J140" s="85" t="s">
        <v>213</v>
      </c>
      <c r="K140" s="292"/>
      <c r="L140" s="293"/>
      <c r="M140" s="293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E141" s="214"/>
      <c r="F141" s="16"/>
      <c r="G141" s="16"/>
      <c r="H141" s="16"/>
      <c r="I141" s="290" t="s">
        <v>227</v>
      </c>
      <c r="J141" s="85">
        <v>-240</v>
      </c>
      <c r="K141" s="291"/>
      <c r="L141" s="294"/>
      <c r="M141" s="294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.75" thickBot="1">
      <c r="B142" s="16"/>
      <c r="C142" s="16"/>
      <c r="E142" s="218" t="s">
        <v>136</v>
      </c>
      <c r="F142" s="16"/>
      <c r="G142" s="16"/>
      <c r="H142" s="16"/>
      <c r="I142" s="290" t="s">
        <v>228</v>
      </c>
      <c r="J142" s="85">
        <v>260</v>
      </c>
      <c r="K142" s="291"/>
      <c r="L142" s="294"/>
      <c r="M142" s="294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.75" thickBot="1">
      <c r="B143" s="16"/>
      <c r="C143" s="16"/>
      <c r="E143" s="218"/>
      <c r="F143" s="16"/>
      <c r="G143" s="16"/>
      <c r="H143" s="16"/>
      <c r="I143" s="290" t="s">
        <v>229</v>
      </c>
      <c r="J143" s="295">
        <f>13000+J141+J142</f>
        <v>13020</v>
      </c>
      <c r="K143" s="296">
        <f>M138/J143</f>
        <v>37.19892473118279</v>
      </c>
      <c r="L143" s="302"/>
      <c r="M143" s="294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.75" thickBot="1">
      <c r="B144" s="16"/>
      <c r="C144" s="16"/>
      <c r="E144" s="219" t="s">
        <v>137</v>
      </c>
      <c r="F144" s="149"/>
      <c r="G144" s="16"/>
      <c r="H144" s="16"/>
      <c r="I144" s="119"/>
      <c r="J144" s="21"/>
      <c r="K144" s="21"/>
      <c r="L144" s="228"/>
      <c r="M144" s="228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E145" s="214"/>
      <c r="F145" s="16"/>
      <c r="G145" s="16"/>
      <c r="H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E146" s="214" t="s">
        <v>139</v>
      </c>
      <c r="F146" s="16"/>
      <c r="G146" s="16"/>
      <c r="H146" s="16"/>
      <c r="I146" s="66">
        <v>37.19892473118279</v>
      </c>
      <c r="J146" s="16" t="s">
        <v>78</v>
      </c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E147" s="214"/>
      <c r="F147" s="16"/>
      <c r="G147" s="16"/>
      <c r="H147" s="16" t="s">
        <v>81</v>
      </c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E148" s="214" t="s">
        <v>79</v>
      </c>
      <c r="F148" s="16" t="s">
        <v>80</v>
      </c>
      <c r="G148" s="67">
        <v>9671.720430107525</v>
      </c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E149" s="161" t="s">
        <v>148</v>
      </c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E150" s="161" t="s">
        <v>149</v>
      </c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.75" thickBot="1">
      <c r="B152" s="16"/>
      <c r="C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.75" thickBot="1">
      <c r="B153" s="16"/>
      <c r="C153" s="16"/>
      <c r="D153" s="16"/>
      <c r="E153" s="41" t="s">
        <v>14</v>
      </c>
      <c r="F153" s="42" t="s">
        <v>15</v>
      </c>
      <c r="G153" s="43" t="s">
        <v>16</v>
      </c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.75" thickBot="1">
      <c r="B154" s="16"/>
      <c r="C154" s="16"/>
      <c r="D154" s="44" t="s">
        <v>53</v>
      </c>
      <c r="E154" s="295" t="s">
        <v>88</v>
      </c>
      <c r="F154" s="165">
        <f>+K143</f>
        <v>37.19892473118279</v>
      </c>
      <c r="G154" s="84">
        <f>+G148</f>
        <v>9671.720430107525</v>
      </c>
      <c r="H154" s="16" t="s">
        <v>226</v>
      </c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44"/>
      <c r="E155" s="21" t="s">
        <v>134</v>
      </c>
      <c r="F155" s="147"/>
      <c r="G155" s="21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9"/>
      <c r="E156" s="21"/>
      <c r="F156" s="32"/>
      <c r="G156" s="21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9" t="s">
        <v>54</v>
      </c>
      <c r="E157" s="19">
        <v>28.2</v>
      </c>
      <c r="F157" s="19">
        <v>70</v>
      </c>
      <c r="G157" s="19">
        <f>F157*P125</f>
        <v>1974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9"/>
      <c r="E158" s="19"/>
      <c r="F158" s="19"/>
      <c r="G158" s="19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55" t="s">
        <v>55</v>
      </c>
      <c r="E159" s="19">
        <f>E157</f>
        <v>28.2</v>
      </c>
      <c r="F159" s="19">
        <f>+M43</f>
        <v>35.5</v>
      </c>
      <c r="G159" s="19">
        <f>F159*E159</f>
        <v>1001.1</v>
      </c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.75" thickBot="1">
      <c r="B160" s="16"/>
      <c r="C160" s="16"/>
      <c r="D160" s="20"/>
      <c r="E160" s="20"/>
      <c r="F160" s="20"/>
      <c r="G160" s="20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.75" thickBot="1">
      <c r="B161" s="16"/>
      <c r="C161" s="16"/>
      <c r="D161" s="41" t="s">
        <v>89</v>
      </c>
      <c r="E161" s="42"/>
      <c r="F161" s="42"/>
      <c r="G161" s="91">
        <f>SUM(G154:G159)</f>
        <v>12646.820430107526</v>
      </c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8" t="s">
        <v>204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.75" thickBot="1">
      <c r="B171" s="16"/>
      <c r="C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2:25" ht="15.75" thickBot="1">
      <c r="B172" s="16"/>
      <c r="C172" s="16"/>
      <c r="D172" s="16"/>
      <c r="E172" s="54" t="s">
        <v>14</v>
      </c>
      <c r="F172" s="54" t="s">
        <v>15</v>
      </c>
      <c r="G172" s="54" t="s">
        <v>16</v>
      </c>
      <c r="H172" s="16"/>
      <c r="I172" s="16" t="s">
        <v>52</v>
      </c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2:25" ht="15.75" thickBot="1">
      <c r="B173" s="16"/>
      <c r="C173" s="16"/>
      <c r="D173" s="41" t="s">
        <v>51</v>
      </c>
      <c r="E173" s="42"/>
      <c r="F173" s="42"/>
      <c r="G173" s="89">
        <v>34996</v>
      </c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2:25" ht="15">
      <c r="B174" s="16"/>
      <c r="C174" s="16"/>
      <c r="D174" s="21"/>
      <c r="E174" s="21"/>
      <c r="F174" s="21"/>
      <c r="G174" s="84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2:25" ht="15">
      <c r="B175" s="16"/>
      <c r="C175" s="16"/>
      <c r="D175" s="19" t="s">
        <v>53</v>
      </c>
      <c r="E175" s="46">
        <f>+I98</f>
        <v>13090</v>
      </c>
      <c r="F175" s="19">
        <f>+J98</f>
        <v>37</v>
      </c>
      <c r="G175" s="67">
        <f>+F175*E175</f>
        <v>484330</v>
      </c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2:25" ht="15">
      <c r="B176" s="16"/>
      <c r="C176" s="16"/>
      <c r="D176" s="19" t="s">
        <v>54</v>
      </c>
      <c r="E176" s="46">
        <v>4520</v>
      </c>
      <c r="F176" s="19">
        <f>+F157</f>
        <v>70</v>
      </c>
      <c r="G176" s="67">
        <f>+F176*E176</f>
        <v>316400</v>
      </c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2:25" ht="15">
      <c r="B177" s="16"/>
      <c r="C177" s="16"/>
      <c r="D177" s="55" t="s">
        <v>55</v>
      </c>
      <c r="E177" s="46">
        <v>4520</v>
      </c>
      <c r="F177" s="19">
        <f>+M43</f>
        <v>35.5</v>
      </c>
      <c r="G177" s="67">
        <f>+F177*E177</f>
        <v>160460</v>
      </c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2:25" ht="15.75" thickBot="1">
      <c r="B178" s="16"/>
      <c r="C178" s="16"/>
      <c r="D178" s="20"/>
      <c r="E178" s="70"/>
      <c r="F178" s="20"/>
      <c r="G178" s="90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2:25" ht="15.75" thickBot="1">
      <c r="B179" s="16"/>
      <c r="C179" s="16"/>
      <c r="D179" s="72" t="s">
        <v>57</v>
      </c>
      <c r="E179" s="167"/>
      <c r="F179" s="42"/>
      <c r="G179" s="91">
        <f>-G161</f>
        <v>-12646.820430107526</v>
      </c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2:25" ht="15.75" thickBot="1">
      <c r="B180" s="16"/>
      <c r="C180" s="16"/>
      <c r="D180" s="16"/>
      <c r="E180" s="168"/>
      <c r="F180" s="16"/>
      <c r="G180" s="65"/>
      <c r="H180" s="40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2:25" ht="15.75" thickBot="1">
      <c r="B181" s="16"/>
      <c r="C181" s="16"/>
      <c r="D181" s="41" t="s">
        <v>59</v>
      </c>
      <c r="E181" s="167">
        <v>13000</v>
      </c>
      <c r="F181" s="73">
        <f>+G181/E181</f>
        <v>75.65685996691481</v>
      </c>
      <c r="G181" s="89">
        <f>SUM(G173:G179)</f>
        <v>983539.1795698925</v>
      </c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2:25" ht="15">
      <c r="B182" s="16"/>
      <c r="C182" s="16"/>
      <c r="D182" s="16"/>
      <c r="E182" s="168"/>
      <c r="F182" s="16"/>
      <c r="G182" s="16" t="s">
        <v>205</v>
      </c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2:25" ht="15">
      <c r="B183" s="16"/>
      <c r="C183" s="16"/>
      <c r="D183" s="16"/>
      <c r="E183" s="168"/>
      <c r="F183" s="16"/>
      <c r="G183" s="16" t="s">
        <v>206</v>
      </c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2:25" ht="15">
      <c r="B184" s="16"/>
      <c r="C184" s="16"/>
      <c r="D184" s="16"/>
      <c r="E184" s="16"/>
      <c r="F184" s="16"/>
      <c r="G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2:25" ht="15">
      <c r="B185" s="16"/>
      <c r="C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2:25" ht="15">
      <c r="B186" s="16"/>
      <c r="C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2:25" ht="15">
      <c r="B187" s="16"/>
      <c r="C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2:25" ht="15">
      <c r="B188" s="16"/>
      <c r="C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2:25" ht="15">
      <c r="B189" s="16"/>
      <c r="C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2:25" ht="1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2:25" ht="15">
      <c r="B191" s="16"/>
      <c r="C191" s="16"/>
      <c r="D191" s="16"/>
      <c r="E191" s="16"/>
      <c r="F191" s="16"/>
      <c r="G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2:25" ht="15">
      <c r="B192" s="16"/>
      <c r="C192" s="16"/>
      <c r="D192" s="16"/>
      <c r="E192" s="19" t="s">
        <v>64</v>
      </c>
      <c r="F192" s="19" t="s">
        <v>63</v>
      </c>
      <c r="G192" s="19">
        <f>52000/4</f>
        <v>13000</v>
      </c>
      <c r="H192" s="19" t="s">
        <v>65</v>
      </c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2:25" ht="1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2:25" ht="15">
      <c r="B194" s="16"/>
      <c r="C194" s="16"/>
      <c r="D194" s="87" t="s">
        <v>82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2:25" ht="15">
      <c r="B195" s="16"/>
      <c r="C195" s="16"/>
      <c r="D195" s="16"/>
      <c r="E195" s="16"/>
      <c r="F195" s="16"/>
      <c r="G195" s="16"/>
      <c r="H195" s="16"/>
      <c r="J195" s="75"/>
      <c r="K195" s="45"/>
      <c r="L195" s="28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2:25" ht="15">
      <c r="B196" s="16"/>
      <c r="C196" s="44">
        <v>1</v>
      </c>
      <c r="D196" s="74" t="s">
        <v>90</v>
      </c>
      <c r="E196" s="75"/>
      <c r="F196" s="75"/>
      <c r="G196" s="75"/>
      <c r="H196" s="75"/>
      <c r="I196" s="75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2:25" ht="15">
      <c r="B197" s="16"/>
      <c r="C197" s="16" t="s">
        <v>84</v>
      </c>
      <c r="D197" s="64" t="s">
        <v>67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2:25" ht="15">
      <c r="B198" s="16"/>
      <c r="C198" s="16" t="s">
        <v>83</v>
      </c>
      <c r="D198" s="64" t="s">
        <v>68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2:25" ht="15">
      <c r="B199" s="16"/>
      <c r="C199" s="16"/>
      <c r="D199" s="64"/>
      <c r="E199" s="16"/>
      <c r="F199" s="16"/>
      <c r="G199" s="16"/>
      <c r="H199" s="16"/>
      <c r="I199" s="75"/>
      <c r="J199" s="75"/>
      <c r="K199" s="45"/>
      <c r="L199" s="28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2:25" ht="15">
      <c r="B200" s="16"/>
      <c r="C200" s="44">
        <v>2</v>
      </c>
      <c r="D200" s="76" t="s">
        <v>86</v>
      </c>
      <c r="E200" s="75"/>
      <c r="F200" s="75"/>
      <c r="G200" s="75"/>
      <c r="H200" s="75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2:25" ht="15">
      <c r="B201" s="16"/>
      <c r="C201" s="16"/>
      <c r="D201" s="64"/>
      <c r="E201" s="16"/>
      <c r="F201" s="16"/>
      <c r="G201" s="16"/>
      <c r="H201" s="16"/>
      <c r="I201" s="75"/>
      <c r="J201" s="75"/>
      <c r="K201" s="45"/>
      <c r="L201" s="28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2:25" ht="15">
      <c r="B202" s="16"/>
      <c r="C202" s="44">
        <v>3</v>
      </c>
      <c r="D202" s="76" t="s">
        <v>69</v>
      </c>
      <c r="E202" s="75"/>
      <c r="F202" s="75"/>
      <c r="G202" s="75"/>
      <c r="H202" s="74" t="s">
        <v>76</v>
      </c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2:25" ht="15">
      <c r="B203" s="16"/>
      <c r="C203" s="16"/>
      <c r="D203" s="40"/>
      <c r="E203" s="40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2:25" ht="15">
      <c r="B204" s="16"/>
      <c r="C204" s="16"/>
      <c r="D204" s="40" t="s">
        <v>70</v>
      </c>
      <c r="E204" s="40" t="s">
        <v>71</v>
      </c>
      <c r="F204" s="40" t="s">
        <v>75</v>
      </c>
      <c r="G204" s="16"/>
      <c r="H204" s="16"/>
      <c r="I204" s="19">
        <f>260*37</f>
        <v>9620</v>
      </c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2:25" ht="15">
      <c r="B205" s="16"/>
      <c r="C205" s="16"/>
      <c r="D205" s="40"/>
      <c r="E205" s="40" t="s">
        <v>72</v>
      </c>
      <c r="F205" s="16"/>
      <c r="G205" s="40" t="s">
        <v>87</v>
      </c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2:25" ht="15">
      <c r="B206" s="16"/>
      <c r="C206" s="16"/>
      <c r="D206" s="40"/>
      <c r="E206" s="40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2:25" ht="15">
      <c r="B207" s="16"/>
      <c r="C207" s="16"/>
      <c r="D207" s="40" t="s">
        <v>73</v>
      </c>
      <c r="E207" s="40" t="s">
        <v>74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2:25" ht="15">
      <c r="B208" s="16"/>
      <c r="C208" s="16"/>
      <c r="D208" s="40"/>
      <c r="E208" s="40" t="s">
        <v>77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2:25" ht="15">
      <c r="B209" s="16"/>
      <c r="C209" s="16"/>
      <c r="D209" s="40"/>
      <c r="E209" s="40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2:25" ht="15">
      <c r="B210" s="16"/>
      <c r="C210" s="16"/>
      <c r="D210" s="40"/>
      <c r="E210" s="40" t="s">
        <v>91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2:25" ht="15">
      <c r="B211" s="16"/>
      <c r="C211" s="16"/>
      <c r="D211" s="40"/>
      <c r="E211" s="40" t="s">
        <v>92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2:25" ht="15">
      <c r="B212" s="16"/>
      <c r="C212" s="16"/>
      <c r="D212" s="40"/>
      <c r="E212" s="40"/>
      <c r="F212" s="16"/>
      <c r="G212" s="16"/>
      <c r="H212" s="16"/>
      <c r="I212" s="66">
        <f>484330/13020</f>
        <v>37.19892473118279</v>
      </c>
      <c r="J212" s="16" t="s">
        <v>78</v>
      </c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2:25" ht="15">
      <c r="B213" s="16"/>
      <c r="C213" s="16"/>
      <c r="D213" s="40"/>
      <c r="E213" s="40" t="s">
        <v>85</v>
      </c>
      <c r="F213" s="16"/>
      <c r="G213" s="16"/>
      <c r="H213" s="16" t="s">
        <v>81</v>
      </c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2:25" ht="15">
      <c r="B214" s="16"/>
      <c r="C214" s="16"/>
      <c r="D214" s="40"/>
      <c r="E214" s="40" t="s">
        <v>79</v>
      </c>
      <c r="F214" s="16" t="s">
        <v>80</v>
      </c>
      <c r="G214" s="67">
        <f>I212*260</f>
        <v>9671.720430107525</v>
      </c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2:25" ht="15">
      <c r="B215" s="16"/>
      <c r="C215" s="16"/>
      <c r="D215" s="40"/>
      <c r="E215" s="40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2:25" ht="15">
      <c r="B216" s="16"/>
      <c r="C216" s="16"/>
      <c r="D216" s="40"/>
      <c r="E216" s="40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2:25" ht="15">
      <c r="B217" s="16"/>
      <c r="C217" s="16"/>
      <c r="D217" s="40"/>
      <c r="E217" s="40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2:25" ht="15">
      <c r="B218" s="16"/>
      <c r="C218" s="16"/>
      <c r="D218" s="40"/>
      <c r="E218" s="40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2:25" ht="15">
      <c r="B219" s="16"/>
      <c r="C219" s="16"/>
      <c r="D219" s="40"/>
      <c r="E219" s="40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2:25" ht="15.75" thickBot="1">
      <c r="B220" s="16"/>
      <c r="C220" s="16"/>
      <c r="D220" s="20" t="s">
        <v>94</v>
      </c>
      <c r="E220" s="20" t="s">
        <v>14</v>
      </c>
      <c r="F220" s="20" t="s">
        <v>15</v>
      </c>
      <c r="G220" s="20" t="s">
        <v>16</v>
      </c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2:25" ht="15">
      <c r="B221" s="16"/>
      <c r="C221" s="16"/>
      <c r="D221" s="22" t="s">
        <v>17</v>
      </c>
      <c r="E221" s="23"/>
      <c r="F221" s="23"/>
      <c r="G221" s="24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2:25" ht="15">
      <c r="B222" s="16"/>
      <c r="C222" s="16"/>
      <c r="D222" s="25"/>
      <c r="E222" s="19">
        <v>215</v>
      </c>
      <c r="F222" s="19">
        <v>242</v>
      </c>
      <c r="G222" s="121">
        <f>+F222*E222</f>
        <v>52030</v>
      </c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2:25" ht="15">
      <c r="B223" s="16"/>
      <c r="C223" s="16"/>
      <c r="D223" s="26"/>
      <c r="E223" s="19"/>
      <c r="F223" s="19"/>
      <c r="G223" s="121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2:25" ht="15">
      <c r="B224" s="16"/>
      <c r="C224" s="16"/>
      <c r="D224" s="27"/>
      <c r="E224" s="28"/>
      <c r="F224" s="28"/>
      <c r="G224" s="122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2:25" ht="15">
      <c r="B225" s="16"/>
      <c r="C225" s="16"/>
      <c r="D225" s="27" t="s">
        <v>21</v>
      </c>
      <c r="E225" s="28"/>
      <c r="F225" s="28"/>
      <c r="G225" s="122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2:25" ht="15">
      <c r="B226" s="16"/>
      <c r="C226" s="16"/>
      <c r="D226" s="25"/>
      <c r="E226" s="19">
        <v>215</v>
      </c>
      <c r="F226" s="52">
        <v>17.2</v>
      </c>
      <c r="G226" s="121">
        <f>F226*E226</f>
        <v>3698</v>
      </c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2:25" ht="15">
      <c r="B227" s="16"/>
      <c r="C227" s="16"/>
      <c r="D227" s="25"/>
      <c r="E227" s="19"/>
      <c r="F227" s="55"/>
      <c r="G227" s="121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2:25" ht="15">
      <c r="B228" s="16"/>
      <c r="C228" s="16"/>
      <c r="D228" s="27"/>
      <c r="E228" s="28"/>
      <c r="F228" s="28"/>
      <c r="G228" s="122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2:25" ht="15">
      <c r="B229" s="16"/>
      <c r="C229" s="16"/>
      <c r="D229" s="26"/>
      <c r="E229" s="19"/>
      <c r="F229" s="19"/>
      <c r="G229" s="121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2:25" ht="15.75" thickBot="1">
      <c r="B230" s="16"/>
      <c r="C230" s="16"/>
      <c r="D230" s="29"/>
      <c r="E230" s="30"/>
      <c r="F230" s="30"/>
      <c r="G230" s="123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2:25" ht="15">
      <c r="B231" s="16"/>
      <c r="C231" s="16"/>
      <c r="D231" s="21" t="s">
        <v>22</v>
      </c>
      <c r="E231" s="21">
        <v>215</v>
      </c>
      <c r="F231" s="77">
        <f>+G231/E231</f>
        <v>259.2</v>
      </c>
      <c r="G231" s="169">
        <f>G226+G222</f>
        <v>55728</v>
      </c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2:25" ht="15">
      <c r="B232" s="16"/>
      <c r="C232" s="16"/>
      <c r="D232" s="40"/>
      <c r="E232" s="40"/>
      <c r="F232" s="16"/>
      <c r="G232" s="65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2:25" ht="15">
      <c r="B233" s="16"/>
      <c r="C233" s="16"/>
      <c r="D233" s="40"/>
      <c r="E233" s="40"/>
      <c r="F233" s="16"/>
      <c r="G233" s="65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2:25" ht="15">
      <c r="B234" s="16"/>
      <c r="C234" s="16"/>
      <c r="D234" s="40"/>
      <c r="E234" s="40"/>
      <c r="F234" s="16"/>
      <c r="G234" s="65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2:25" ht="15">
      <c r="B235" s="16"/>
      <c r="C235" s="16"/>
      <c r="D235" s="16"/>
      <c r="E235" s="16"/>
      <c r="F235" s="16"/>
      <c r="G235" s="65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2:25" ht="15">
      <c r="B236" s="16"/>
      <c r="C236" s="16"/>
      <c r="D236" s="16"/>
      <c r="E236" s="16"/>
      <c r="F236" s="16"/>
      <c r="G236" s="65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2:25" ht="28.5">
      <c r="B237" s="16"/>
      <c r="C237" s="16"/>
      <c r="D237" s="166" t="s">
        <v>93</v>
      </c>
      <c r="E237" s="16"/>
      <c r="F237" s="16"/>
      <c r="G237" s="65"/>
      <c r="H237" s="16"/>
      <c r="I237" s="16"/>
      <c r="J237" s="16"/>
      <c r="K237" s="65"/>
      <c r="L237" s="65"/>
      <c r="M237" s="16"/>
      <c r="N237" s="16"/>
      <c r="O237" s="145" t="s">
        <v>177</v>
      </c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2:25" ht="15.75" thickBot="1">
      <c r="B238" s="16"/>
      <c r="C238" s="16"/>
      <c r="D238" s="40"/>
      <c r="E238" s="16"/>
      <c r="F238" s="16"/>
      <c r="G238" s="65"/>
      <c r="K238" s="101"/>
      <c r="L238" s="101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2:25" ht="15.75" thickBot="1">
      <c r="B239" s="16"/>
      <c r="C239" s="16"/>
      <c r="D239" s="41"/>
      <c r="E239" s="42" t="s">
        <v>14</v>
      </c>
      <c r="F239" s="42" t="s">
        <v>15</v>
      </c>
      <c r="G239" s="170" t="s">
        <v>16</v>
      </c>
      <c r="H239" s="42"/>
      <c r="I239" s="42" t="s">
        <v>14</v>
      </c>
      <c r="J239" s="42" t="s">
        <v>15</v>
      </c>
      <c r="K239" s="89" t="s">
        <v>16</v>
      </c>
      <c r="L239" s="128"/>
      <c r="M239" s="16"/>
      <c r="O239" s="19" t="s">
        <v>14</v>
      </c>
      <c r="P239" s="19" t="s">
        <v>151</v>
      </c>
      <c r="Q239" s="188" t="s">
        <v>167</v>
      </c>
      <c r="R239" s="16"/>
      <c r="S239" s="16"/>
      <c r="T239" s="16"/>
      <c r="U239" s="16"/>
      <c r="V239" s="16"/>
      <c r="W239" s="16"/>
      <c r="X239" s="16"/>
      <c r="Y239" s="16"/>
    </row>
    <row r="240" spans="3:17" ht="15">
      <c r="C240" s="16"/>
      <c r="D240" s="21" t="s">
        <v>10</v>
      </c>
      <c r="E240" s="21">
        <v>15</v>
      </c>
      <c r="F240" s="77">
        <f>+G240/E240</f>
        <v>179.46666666666667</v>
      </c>
      <c r="G240" s="84">
        <v>2692</v>
      </c>
      <c r="H240" s="21" t="s">
        <v>31</v>
      </c>
      <c r="I240" s="21">
        <v>210</v>
      </c>
      <c r="J240" s="84">
        <f>+F247</f>
        <v>254</v>
      </c>
      <c r="K240" s="177">
        <f>+J240*I240</f>
        <v>53340</v>
      </c>
      <c r="L240" s="303"/>
      <c r="M240" s="5"/>
      <c r="N240" s="163" t="s">
        <v>166</v>
      </c>
      <c r="O240" s="181">
        <v>1000</v>
      </c>
      <c r="P240" s="19">
        <v>0.2</v>
      </c>
      <c r="Q240" s="181">
        <f>P240*O240</f>
        <v>200</v>
      </c>
    </row>
    <row r="241" spans="4:17" ht="15">
      <c r="D241" s="19"/>
      <c r="E241" s="19"/>
      <c r="F241" s="19"/>
      <c r="G241" s="67"/>
      <c r="H241" s="19"/>
      <c r="I241" s="19"/>
      <c r="J241" s="67"/>
      <c r="K241" s="67"/>
      <c r="L241" s="128"/>
      <c r="O241" s="181"/>
      <c r="P241" s="19"/>
      <c r="Q241" s="181"/>
    </row>
    <row r="242" spans="4:17" ht="15.75" thickBot="1">
      <c r="D242" s="19"/>
      <c r="E242" s="19"/>
      <c r="F242" s="19"/>
      <c r="G242" s="67"/>
      <c r="H242" s="20"/>
      <c r="I242" s="20"/>
      <c r="J242" s="90"/>
      <c r="K242" s="90"/>
      <c r="L242" s="128"/>
      <c r="N242" s="1" t="s">
        <v>168</v>
      </c>
      <c r="O242" s="181">
        <v>24400</v>
      </c>
      <c r="P242" s="19">
        <v>1</v>
      </c>
      <c r="Q242" s="181">
        <f>+O242</f>
        <v>24400</v>
      </c>
    </row>
    <row r="243" spans="4:17" ht="15.75" thickBot="1">
      <c r="D243" s="19"/>
      <c r="E243" s="19"/>
      <c r="F243" s="19"/>
      <c r="G243" s="132"/>
      <c r="H243" s="253" t="s">
        <v>193</v>
      </c>
      <c r="I243" s="254">
        <v>2</v>
      </c>
      <c r="J243" s="256">
        <f>F247</f>
        <v>254</v>
      </c>
      <c r="K243" s="255">
        <f>J243*I243</f>
        <v>508</v>
      </c>
      <c r="L243" s="304"/>
      <c r="N243" s="2" t="s">
        <v>168</v>
      </c>
      <c r="O243" s="181">
        <v>27600</v>
      </c>
      <c r="P243" s="19">
        <v>1</v>
      </c>
      <c r="Q243" s="181">
        <f>+O243</f>
        <v>27600</v>
      </c>
    </row>
    <row r="244" spans="4:17" ht="15">
      <c r="D244" s="19"/>
      <c r="E244" s="19"/>
      <c r="F244" s="19"/>
      <c r="G244" s="67"/>
      <c r="H244" s="21"/>
      <c r="I244" s="21"/>
      <c r="J244" s="84"/>
      <c r="K244" s="84"/>
      <c r="L244" s="128"/>
      <c r="N244" s="163" t="s">
        <v>179</v>
      </c>
      <c r="O244" s="181">
        <v>1000</v>
      </c>
      <c r="P244" s="19">
        <v>1</v>
      </c>
      <c r="Q244" s="181">
        <f>-O240</f>
        <v>-1000</v>
      </c>
    </row>
    <row r="245" spans="4:17" ht="15">
      <c r="D245" s="19" t="s">
        <v>23</v>
      </c>
      <c r="E245" s="19">
        <f>+E222</f>
        <v>215</v>
      </c>
      <c r="F245" s="57">
        <f>+F231</f>
        <v>259.2</v>
      </c>
      <c r="G245" s="67">
        <f>+F245*E245</f>
        <v>55728</v>
      </c>
      <c r="H245" s="19" t="s">
        <v>34</v>
      </c>
      <c r="I245" s="19">
        <f>+E247-I240-I243</f>
        <v>18</v>
      </c>
      <c r="J245" s="67">
        <f>J240</f>
        <v>254</v>
      </c>
      <c r="K245" s="84">
        <f>+J245*I245</f>
        <v>4572</v>
      </c>
      <c r="L245" s="128"/>
      <c r="O245" s="163"/>
      <c r="P245" s="19"/>
      <c r="Q245" s="163"/>
    </row>
    <row r="246" spans="4:17" ht="15.75" thickBot="1">
      <c r="D246" s="20"/>
      <c r="E246" s="20"/>
      <c r="F246" s="20"/>
      <c r="G246" s="90"/>
      <c r="H246" s="20"/>
      <c r="I246" s="20"/>
      <c r="J246" s="90"/>
      <c r="K246" s="90"/>
      <c r="L246" s="128"/>
      <c r="N246" s="163" t="s">
        <v>169</v>
      </c>
      <c r="O246" s="181">
        <v>680</v>
      </c>
      <c r="P246" s="19">
        <v>0.7</v>
      </c>
      <c r="Q246" s="181">
        <f>P246*O246</f>
        <v>475.99999999999994</v>
      </c>
    </row>
    <row r="247" spans="4:17" ht="15.75" thickBot="1">
      <c r="D247" s="41" t="s">
        <v>22</v>
      </c>
      <c r="E247" s="42">
        <f>+E245+E240</f>
        <v>230</v>
      </c>
      <c r="F247" s="79">
        <f>+G247/E247</f>
        <v>254</v>
      </c>
      <c r="G247" s="170">
        <f>+G245+G240</f>
        <v>58420</v>
      </c>
      <c r="H247" s="42" t="s">
        <v>22</v>
      </c>
      <c r="I247" s="42">
        <f>SUM(I240:I245)</f>
        <v>230</v>
      </c>
      <c r="J247" s="170">
        <f>+F247</f>
        <v>254</v>
      </c>
      <c r="K247" s="89">
        <f>K245+K240+K243</f>
        <v>58420</v>
      </c>
      <c r="L247" s="128"/>
      <c r="O247" s="99">
        <v>520</v>
      </c>
      <c r="P247" s="20">
        <v>0.6</v>
      </c>
      <c r="Q247" s="99">
        <f>P247*O247</f>
        <v>312</v>
      </c>
    </row>
    <row r="248" spans="7:18" ht="15.75" thickBot="1">
      <c r="G248" s="101"/>
      <c r="K248" s="101"/>
      <c r="L248" s="101"/>
      <c r="N248" s="163" t="s">
        <v>42</v>
      </c>
      <c r="O248" s="224"/>
      <c r="P248" s="196"/>
      <c r="Q248" s="182">
        <f>SUM(Q240:Q247)</f>
        <v>51988</v>
      </c>
      <c r="R248" t="s">
        <v>170</v>
      </c>
    </row>
    <row r="249" spans="7:17" ht="15">
      <c r="G249" s="101"/>
      <c r="K249" s="101"/>
      <c r="L249" s="101"/>
      <c r="O249" s="95"/>
      <c r="Q249" s="95"/>
    </row>
    <row r="250" spans="7:21" ht="15">
      <c r="G250" s="101"/>
      <c r="K250" s="101"/>
      <c r="L250" s="101"/>
      <c r="O250" s="186" t="s">
        <v>173</v>
      </c>
      <c r="P250" s="187" t="s">
        <v>174</v>
      </c>
      <c r="Q250" s="183" t="s">
        <v>172</v>
      </c>
      <c r="R250" s="184">
        <f>+O242+O243</f>
        <v>52000</v>
      </c>
      <c r="S250" s="185"/>
      <c r="T250" s="189" t="s">
        <v>175</v>
      </c>
      <c r="U250" s="190" t="s">
        <v>176</v>
      </c>
    </row>
    <row r="251" spans="3:17" ht="26.25">
      <c r="C251" s="175" t="s">
        <v>60</v>
      </c>
      <c r="D251" s="175"/>
      <c r="E251" s="175"/>
      <c r="G251" s="101"/>
      <c r="K251" s="101"/>
      <c r="L251" s="101"/>
      <c r="Q251" s="95" t="s">
        <v>171</v>
      </c>
    </row>
    <row r="252" spans="1:21" ht="26.25">
      <c r="A252" s="16"/>
      <c r="B252" s="154"/>
      <c r="C252" s="175" t="s">
        <v>61</v>
      </c>
      <c r="D252" s="176" t="s">
        <v>104</v>
      </c>
      <c r="E252" s="175"/>
      <c r="F252" s="16"/>
      <c r="G252" s="16"/>
      <c r="H252" s="16"/>
      <c r="I252" s="16"/>
      <c r="J252" s="16"/>
      <c r="K252" s="16"/>
      <c r="L252" s="16"/>
      <c r="M252" s="16"/>
      <c r="N252" s="16"/>
      <c r="O252" s="36"/>
      <c r="P252" s="192">
        <f>Q240</f>
        <v>200</v>
      </c>
      <c r="Q252" s="191"/>
      <c r="R252" s="37">
        <v>51000</v>
      </c>
      <c r="S252" s="86"/>
      <c r="T252" s="36"/>
      <c r="U252" s="192">
        <f>Q246+Q247</f>
        <v>788</v>
      </c>
    </row>
    <row r="253" spans="1:17" ht="18.75">
      <c r="A253" s="16"/>
      <c r="B253" s="145"/>
      <c r="C253" s="40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Q253" s="95"/>
    </row>
    <row r="254" spans="1:21" ht="15.75" thickBot="1">
      <c r="A254" s="16"/>
      <c r="B254" s="16"/>
      <c r="C254" s="16"/>
      <c r="D254" s="16"/>
      <c r="E254" s="16"/>
      <c r="F254" s="16"/>
      <c r="G254" s="16"/>
      <c r="H254" s="19" t="s">
        <v>150</v>
      </c>
      <c r="I254" s="19" t="s">
        <v>151</v>
      </c>
      <c r="J254" s="19" t="s">
        <v>96</v>
      </c>
      <c r="K254" s="20" t="s">
        <v>152</v>
      </c>
      <c r="L254" s="28"/>
      <c r="M254" s="16"/>
      <c r="N254" s="16"/>
      <c r="O254" s="36"/>
      <c r="P254" s="193"/>
      <c r="Q254" s="194"/>
      <c r="R254" s="194">
        <f>R252+P252+U252</f>
        <v>51988</v>
      </c>
      <c r="S254" s="193" t="s">
        <v>178</v>
      </c>
      <c r="T254" s="193"/>
      <c r="U254" s="195"/>
    </row>
    <row r="255" spans="1:17" ht="15.75" thickBot="1">
      <c r="A255" s="16"/>
      <c r="B255" s="16"/>
      <c r="C255" s="41" t="s">
        <v>14</v>
      </c>
      <c r="D255" s="42" t="s">
        <v>15</v>
      </c>
      <c r="E255" s="43" t="s">
        <v>16</v>
      </c>
      <c r="F255" s="16"/>
      <c r="G255" s="16"/>
      <c r="H255" s="19">
        <v>680</v>
      </c>
      <c r="I255" s="164">
        <v>1</v>
      </c>
      <c r="J255" s="16">
        <f>+H255*I255</f>
        <v>680</v>
      </c>
      <c r="K255" s="127">
        <f>(J255+J256)/4</f>
        <v>300</v>
      </c>
      <c r="L255" s="28"/>
      <c r="M255" s="16"/>
      <c r="N255" s="16"/>
      <c r="Q255" s="95"/>
    </row>
    <row r="256" spans="1:17" ht="15.75" thickBot="1">
      <c r="A256" s="158" t="s">
        <v>140</v>
      </c>
      <c r="B256" s="75" t="s">
        <v>153</v>
      </c>
      <c r="C256" s="155" t="s">
        <v>96</v>
      </c>
      <c r="D256" s="146" t="s">
        <v>154</v>
      </c>
      <c r="E256" s="21"/>
      <c r="F256" s="16" t="s">
        <v>207</v>
      </c>
      <c r="G256" s="162" t="s">
        <v>146</v>
      </c>
      <c r="H256" s="19">
        <v>520</v>
      </c>
      <c r="I256" s="178">
        <v>1</v>
      </c>
      <c r="J256" s="222">
        <f>I256*H256</f>
        <v>520</v>
      </c>
      <c r="K256" s="120"/>
      <c r="L256" s="28"/>
      <c r="M256" s="16"/>
      <c r="N256" s="16"/>
      <c r="Q256" s="95"/>
    </row>
    <row r="257" spans="1:17" ht="15">
      <c r="A257" s="158"/>
      <c r="B257" s="75"/>
      <c r="C257" s="220"/>
      <c r="D257" s="146"/>
      <c r="E257" s="21"/>
      <c r="F257" s="16"/>
      <c r="G257" s="28"/>
      <c r="H257" s="28"/>
      <c r="I257" s="221"/>
      <c r="J257" s="16">
        <f>J255+J256</f>
        <v>1200</v>
      </c>
      <c r="K257" s="28"/>
      <c r="L257" s="28"/>
      <c r="M257" s="16"/>
      <c r="N257" s="16"/>
      <c r="Q257" s="95"/>
    </row>
    <row r="258" spans="1:17" ht="15">
      <c r="A258" s="158"/>
      <c r="B258" s="75"/>
      <c r="C258" s="220"/>
      <c r="D258" s="146"/>
      <c r="E258" s="21"/>
      <c r="F258" s="16"/>
      <c r="G258" s="28"/>
      <c r="H258" s="28"/>
      <c r="I258" s="221"/>
      <c r="J258" s="16"/>
      <c r="K258" s="28"/>
      <c r="L258" s="28"/>
      <c r="M258" s="16"/>
      <c r="N258" s="16"/>
      <c r="Q258" s="95"/>
    </row>
    <row r="259" spans="1:17" ht="15">
      <c r="A259" s="158"/>
      <c r="B259" s="75"/>
      <c r="C259" s="220"/>
      <c r="D259" s="146"/>
      <c r="E259" s="21"/>
      <c r="F259" s="16" t="s">
        <v>208</v>
      </c>
      <c r="G259" s="44"/>
      <c r="H259" s="75" t="s">
        <v>209</v>
      </c>
      <c r="I259" s="223"/>
      <c r="J259" s="75"/>
      <c r="K259" s="45"/>
      <c r="L259" s="28"/>
      <c r="M259" s="16"/>
      <c r="N259" s="16"/>
      <c r="Q259" s="95"/>
    </row>
    <row r="260" spans="1:17" ht="15">
      <c r="A260" s="158"/>
      <c r="B260" s="75"/>
      <c r="C260" s="220"/>
      <c r="D260" s="146"/>
      <c r="E260" s="21"/>
      <c r="F260" s="16"/>
      <c r="G260" s="28"/>
      <c r="H260" s="28"/>
      <c r="I260" s="221"/>
      <c r="J260" s="16"/>
      <c r="K260" s="28"/>
      <c r="L260" s="28"/>
      <c r="M260" s="16"/>
      <c r="N260" s="16"/>
      <c r="Q260" s="95"/>
    </row>
    <row r="261" spans="1:17" ht="15">
      <c r="A261" s="158"/>
      <c r="B261" s="75"/>
      <c r="C261" s="220"/>
      <c r="D261" s="146"/>
      <c r="E261" s="21"/>
      <c r="F261" s="16"/>
      <c r="G261" s="28"/>
      <c r="H261" s="28"/>
      <c r="I261" s="221"/>
      <c r="J261" s="16"/>
      <c r="K261" s="28"/>
      <c r="L261" s="28"/>
      <c r="M261" s="16"/>
      <c r="N261" s="16"/>
      <c r="Q261" s="95"/>
    </row>
    <row r="262" spans="1:17" ht="15.75" thickBot="1">
      <c r="A262" s="19"/>
      <c r="B262" s="75" t="s">
        <v>155</v>
      </c>
      <c r="C262" s="120"/>
      <c r="D262" s="147"/>
      <c r="E262" s="21"/>
      <c r="F262" s="16"/>
      <c r="G262" s="16"/>
      <c r="H262" s="16"/>
      <c r="I262" s="16"/>
      <c r="J262" s="16"/>
      <c r="K262" s="16"/>
      <c r="L262" s="16"/>
      <c r="M262" s="16"/>
      <c r="N262" s="16"/>
      <c r="Q262" s="95"/>
    </row>
    <row r="263" spans="1:17" ht="15.75" thickBot="1">
      <c r="A263" s="19"/>
      <c r="B263" s="45"/>
      <c r="C263" s="21"/>
      <c r="D263" s="32"/>
      <c r="E263" s="21"/>
      <c r="F263" s="16"/>
      <c r="G263" s="16"/>
      <c r="H263" s="19" t="s">
        <v>150</v>
      </c>
      <c r="I263" s="19" t="s">
        <v>151</v>
      </c>
      <c r="J263" s="19" t="s">
        <v>96</v>
      </c>
      <c r="K263" s="19" t="s">
        <v>42</v>
      </c>
      <c r="L263" s="28"/>
      <c r="M263" s="16"/>
      <c r="N263" s="16"/>
      <c r="Q263" s="95"/>
    </row>
    <row r="264" spans="1:17" ht="15.75" thickBot="1">
      <c r="A264" s="158" t="s">
        <v>140</v>
      </c>
      <c r="B264" s="45" t="s">
        <v>54</v>
      </c>
      <c r="C264" s="19" t="s">
        <v>96</v>
      </c>
      <c r="D264" s="19"/>
      <c r="E264" s="19"/>
      <c r="F264" s="16" t="s">
        <v>54</v>
      </c>
      <c r="G264" s="162" t="s">
        <v>96</v>
      </c>
      <c r="H264" s="19">
        <v>680</v>
      </c>
      <c r="I264" s="19">
        <v>0.7</v>
      </c>
      <c r="J264" s="19">
        <f>I264*H264</f>
        <v>475.99999999999994</v>
      </c>
      <c r="K264" s="28">
        <f>+J264+J265</f>
        <v>788</v>
      </c>
      <c r="L264" s="28"/>
      <c r="M264" s="19">
        <v>0.125</v>
      </c>
      <c r="N264" s="24">
        <f>M264*K264</f>
        <v>98.5</v>
      </c>
      <c r="Q264" s="95"/>
    </row>
    <row r="265" spans="1:17" ht="15.75" thickBot="1">
      <c r="A265" s="19"/>
      <c r="B265" s="45"/>
      <c r="C265" s="19"/>
      <c r="D265" s="19"/>
      <c r="E265" s="19"/>
      <c r="F265" s="16"/>
      <c r="G265" s="16"/>
      <c r="H265" s="19">
        <v>520</v>
      </c>
      <c r="I265" s="19">
        <v>0.6</v>
      </c>
      <c r="J265" s="19">
        <f>I265*H265</f>
        <v>312</v>
      </c>
      <c r="K265" s="31" t="s">
        <v>96</v>
      </c>
      <c r="L265" s="28"/>
      <c r="M265" s="16"/>
      <c r="N265" s="120"/>
      <c r="Q265" s="95"/>
    </row>
    <row r="266" spans="1:17" ht="15.75" thickBot="1">
      <c r="A266" s="19"/>
      <c r="B266" s="45"/>
      <c r="C266" s="19"/>
      <c r="D266" s="19"/>
      <c r="E266" s="19"/>
      <c r="F266" s="16"/>
      <c r="G266" s="16"/>
      <c r="H266" s="16"/>
      <c r="I266" s="16"/>
      <c r="J266" s="16"/>
      <c r="K266" s="16"/>
      <c r="L266" s="16"/>
      <c r="M266" s="16"/>
      <c r="N266" s="16"/>
      <c r="Q266" s="95"/>
    </row>
    <row r="267" spans="1:17" ht="15.75" thickBot="1">
      <c r="A267" s="158" t="s">
        <v>140</v>
      </c>
      <c r="B267" s="156" t="s">
        <v>55</v>
      </c>
      <c r="C267" s="19" t="s">
        <v>96</v>
      </c>
      <c r="D267" s="19"/>
      <c r="E267" s="19"/>
      <c r="F267" s="16" t="s">
        <v>26</v>
      </c>
      <c r="G267" s="162" t="s">
        <v>96</v>
      </c>
      <c r="H267" s="19" t="s">
        <v>147</v>
      </c>
      <c r="I267" s="19" t="s">
        <v>147</v>
      </c>
      <c r="J267" s="19" t="s">
        <v>147</v>
      </c>
      <c r="K267" s="19">
        <v>94</v>
      </c>
      <c r="L267" s="19"/>
      <c r="M267" s="19" t="s">
        <v>147</v>
      </c>
      <c r="N267" s="19" t="s">
        <v>147</v>
      </c>
      <c r="Q267" s="95"/>
    </row>
    <row r="268" spans="1:17" ht="15.75" thickBot="1">
      <c r="A268" s="19"/>
      <c r="B268" s="47"/>
      <c r="C268" s="20"/>
      <c r="D268" s="20"/>
      <c r="E268" s="20"/>
      <c r="F268" s="16"/>
      <c r="G268" s="16"/>
      <c r="H268" s="16"/>
      <c r="I268" s="16"/>
      <c r="J268" s="16"/>
      <c r="K268" s="16"/>
      <c r="L268" s="16"/>
      <c r="M268" s="16"/>
      <c r="N268" s="16"/>
      <c r="Q268" s="95"/>
    </row>
    <row r="269" spans="1:17" ht="15.75" thickBot="1">
      <c r="A269" s="158" t="s">
        <v>141</v>
      </c>
      <c r="B269" s="157" t="s">
        <v>89</v>
      </c>
      <c r="C269" s="42"/>
      <c r="D269" s="42"/>
      <c r="E269" s="71" t="s">
        <v>58</v>
      </c>
      <c r="F269" s="16"/>
      <c r="G269" s="16"/>
      <c r="H269" s="16"/>
      <c r="I269" s="16"/>
      <c r="J269" s="16"/>
      <c r="K269" s="16"/>
      <c r="L269" s="16"/>
      <c r="M269" s="16"/>
      <c r="N269" s="16"/>
      <c r="Q269" s="95"/>
    </row>
    <row r="270" spans="7:17" ht="15">
      <c r="G270" s="101"/>
      <c r="K270" s="101"/>
      <c r="L270" s="101"/>
      <c r="Q270" s="95"/>
    </row>
    <row r="271" spans="7:17" ht="15">
      <c r="G271" s="101"/>
      <c r="K271" s="101"/>
      <c r="L271" s="101"/>
      <c r="Q271" s="95"/>
    </row>
    <row r="272" spans="7:17" ht="15">
      <c r="G272" s="101"/>
      <c r="K272" s="101"/>
      <c r="L272" s="101"/>
      <c r="Q272" s="95"/>
    </row>
    <row r="273" spans="7:17" ht="15">
      <c r="G273" s="101"/>
      <c r="K273" s="101"/>
      <c r="L273" s="101"/>
      <c r="Q273" s="95"/>
    </row>
    <row r="274" spans="7:17" ht="15">
      <c r="G274" s="101"/>
      <c r="K274" s="101"/>
      <c r="L274" s="101"/>
      <c r="Q274" s="95"/>
    </row>
    <row r="275" spans="7:17" ht="15">
      <c r="G275" s="101"/>
      <c r="K275" s="101"/>
      <c r="L275" s="101"/>
      <c r="Q275" s="95"/>
    </row>
    <row r="276" spans="7:17" ht="15">
      <c r="G276" s="101"/>
      <c r="K276" s="101"/>
      <c r="L276" s="101"/>
      <c r="Q276" s="95"/>
    </row>
    <row r="277" spans="4:17" ht="26.25">
      <c r="D277" s="175" t="s">
        <v>60</v>
      </c>
      <c r="G277" s="101"/>
      <c r="J277" s="175" t="s">
        <v>60</v>
      </c>
      <c r="K277" s="101"/>
      <c r="L277" s="101"/>
      <c r="Q277" s="95"/>
    </row>
    <row r="278" spans="4:17" ht="26.25">
      <c r="D278" s="175" t="s">
        <v>61</v>
      </c>
      <c r="E278" s="176" t="s">
        <v>104</v>
      </c>
      <c r="G278" s="101"/>
      <c r="H278" s="16"/>
      <c r="I278" s="16"/>
      <c r="J278" s="175" t="s">
        <v>61</v>
      </c>
      <c r="K278" s="65"/>
      <c r="L278" s="65"/>
      <c r="M278" s="16"/>
      <c r="N278" s="16"/>
      <c r="Q278" s="95"/>
    </row>
    <row r="279" spans="5:17" ht="26.25">
      <c r="E279" s="175"/>
      <c r="F279" s="175"/>
      <c r="G279" s="65"/>
      <c r="H279" s="16"/>
      <c r="I279" s="16"/>
      <c r="J279" s="16"/>
      <c r="K279" s="65"/>
      <c r="L279" s="65"/>
      <c r="M279" s="16"/>
      <c r="N279" s="16"/>
      <c r="Q279" s="95"/>
    </row>
    <row r="280" spans="6:14" ht="27" thickBot="1">
      <c r="F280" s="175"/>
      <c r="G280" s="65"/>
      <c r="H280" s="16"/>
      <c r="I280" s="16"/>
      <c r="J280" s="16"/>
      <c r="K280" s="16"/>
      <c r="L280" s="16"/>
      <c r="M280" s="16"/>
      <c r="N280" s="16"/>
    </row>
    <row r="281" spans="4:15" ht="15.75" thickBot="1">
      <c r="D281" s="16"/>
      <c r="E281" s="16"/>
      <c r="F281" s="16"/>
      <c r="G281" s="65"/>
      <c r="H281" s="16"/>
      <c r="J281" s="16"/>
      <c r="K281" s="41" t="s">
        <v>113</v>
      </c>
      <c r="L281" s="41"/>
      <c r="M281" s="41" t="s">
        <v>112</v>
      </c>
      <c r="N281" s="42" t="s">
        <v>232</v>
      </c>
      <c r="O281" s="43" t="s">
        <v>16</v>
      </c>
    </row>
    <row r="282" spans="4:15" ht="15.75" thickBot="1">
      <c r="D282" s="16"/>
      <c r="E282" s="41" t="s">
        <v>14</v>
      </c>
      <c r="F282" s="42" t="s">
        <v>15</v>
      </c>
      <c r="G282" s="89" t="s">
        <v>16</v>
      </c>
      <c r="H282" s="16"/>
      <c r="J282" s="19" t="s">
        <v>109</v>
      </c>
      <c r="K282" s="21">
        <v>300</v>
      </c>
      <c r="L282" s="21"/>
      <c r="M282" s="200"/>
      <c r="N282" s="202">
        <f>+F283</f>
        <v>75.65685996691481</v>
      </c>
      <c r="O282" s="84">
        <f>+N282*K282</f>
        <v>22697.05799007444</v>
      </c>
    </row>
    <row r="283" spans="4:15" ht="15">
      <c r="D283" s="19" t="s">
        <v>109</v>
      </c>
      <c r="E283" s="21">
        <v>300</v>
      </c>
      <c r="F283" s="83">
        <f>+F181</f>
        <v>75.65685996691481</v>
      </c>
      <c r="G283" s="84">
        <f>+F283*E283</f>
        <v>22697.05799007444</v>
      </c>
      <c r="H283" s="16"/>
      <c r="J283" s="19"/>
      <c r="K283" s="21"/>
      <c r="L283" s="21"/>
      <c r="M283" s="21"/>
      <c r="N283" s="202"/>
      <c r="O283" s="21"/>
    </row>
    <row r="284" spans="4:15" ht="15">
      <c r="D284" s="19"/>
      <c r="E284" s="21"/>
      <c r="F284" s="32"/>
      <c r="G284" s="84"/>
      <c r="H284" s="16"/>
      <c r="J284" s="19" t="s">
        <v>108</v>
      </c>
      <c r="K284" s="201">
        <f>N291</f>
        <v>0.015157344002462107</v>
      </c>
      <c r="L284" s="201"/>
      <c r="M284" s="200"/>
      <c r="N284" s="203">
        <f>K294</f>
        <v>53340</v>
      </c>
      <c r="O284" s="21">
        <v>808</v>
      </c>
    </row>
    <row r="285" spans="4:15" ht="15">
      <c r="D285" s="19" t="s">
        <v>108</v>
      </c>
      <c r="E285" s="21" t="s">
        <v>96</v>
      </c>
      <c r="F285" s="68"/>
      <c r="G285" s="84"/>
      <c r="H285" s="16"/>
      <c r="J285" s="19" t="s">
        <v>54</v>
      </c>
      <c r="K285" s="19">
        <v>788</v>
      </c>
      <c r="L285" s="19"/>
      <c r="M285" s="19">
        <v>0.125</v>
      </c>
      <c r="N285" s="19">
        <v>50</v>
      </c>
      <c r="O285" s="19">
        <f>N285*M285*K285</f>
        <v>4925</v>
      </c>
    </row>
    <row r="286" spans="4:15" ht="15">
      <c r="D286" s="19" t="s">
        <v>54</v>
      </c>
      <c r="E286" s="19" t="s">
        <v>96</v>
      </c>
      <c r="F286" s="19"/>
      <c r="G286" s="67"/>
      <c r="H286" s="16"/>
      <c r="J286" s="55" t="s">
        <v>55</v>
      </c>
      <c r="K286" s="19">
        <v>788</v>
      </c>
      <c r="L286" s="19"/>
      <c r="M286" s="19">
        <v>0.125</v>
      </c>
      <c r="N286" s="19">
        <v>20</v>
      </c>
      <c r="O286" s="19">
        <f>N286*M286*K286</f>
        <v>1970</v>
      </c>
    </row>
    <row r="287" spans="4:15" ht="15.75" thickBot="1">
      <c r="D287" s="55" t="s">
        <v>55</v>
      </c>
      <c r="E287" s="19" t="s">
        <v>96</v>
      </c>
      <c r="F287" s="19"/>
      <c r="G287" s="67"/>
      <c r="H287" s="16"/>
      <c r="J287" s="20"/>
      <c r="K287" s="20"/>
      <c r="L287" s="20"/>
      <c r="M287" s="20"/>
      <c r="N287" s="20"/>
      <c r="O287" s="20"/>
    </row>
    <row r="288" spans="4:15" ht="15.75" thickBot="1">
      <c r="D288" s="20"/>
      <c r="E288" s="20"/>
      <c r="F288" s="20"/>
      <c r="G288" s="90"/>
      <c r="H288" s="16"/>
      <c r="J288" s="41" t="s">
        <v>89</v>
      </c>
      <c r="K288" s="42"/>
      <c r="L288" s="42"/>
      <c r="M288" s="42"/>
      <c r="N288" s="42"/>
      <c r="O288" s="93">
        <f>O286+O285+O284+O282</f>
        <v>30400.05799007444</v>
      </c>
    </row>
    <row r="289" spans="4:14" ht="15.75" thickBot="1">
      <c r="D289" s="41" t="s">
        <v>89</v>
      </c>
      <c r="E289" s="42"/>
      <c r="F289" s="42"/>
      <c r="G289" s="91" t="s">
        <v>58</v>
      </c>
      <c r="H289" s="16"/>
      <c r="I289" s="16"/>
      <c r="J289" s="16"/>
      <c r="K289" s="16"/>
      <c r="L289" s="16"/>
      <c r="M289" s="16"/>
      <c r="N289" s="16"/>
    </row>
    <row r="290" spans="4:15" ht="15">
      <c r="D290" s="16"/>
      <c r="E290" s="16"/>
      <c r="F290" s="16"/>
      <c r="G290" s="65"/>
      <c r="H290" s="16"/>
      <c r="I290" s="16"/>
      <c r="J290" s="16"/>
      <c r="K290" s="16"/>
      <c r="L290" s="16"/>
      <c r="M290" s="16"/>
      <c r="N290" s="16"/>
      <c r="O290" s="92"/>
    </row>
    <row r="291" spans="4:14" ht="15">
      <c r="D291" s="16"/>
      <c r="E291" s="16"/>
      <c r="F291" s="16"/>
      <c r="G291" s="65"/>
      <c r="H291" s="16"/>
      <c r="I291" s="16"/>
      <c r="J291" s="16"/>
      <c r="K291" s="44">
        <v>788</v>
      </c>
      <c r="L291" s="299"/>
      <c r="M291" s="225" t="s">
        <v>141</v>
      </c>
      <c r="N291" s="226">
        <f>K291/K292</f>
        <v>0.015157344002462107</v>
      </c>
    </row>
    <row r="292" spans="4:14" ht="15">
      <c r="D292" s="40" t="s">
        <v>97</v>
      </c>
      <c r="E292" s="16"/>
      <c r="F292" s="16"/>
      <c r="G292" s="65"/>
      <c r="H292" s="16"/>
      <c r="I292" s="16"/>
      <c r="J292" s="16"/>
      <c r="K292" s="104">
        <v>51988</v>
      </c>
      <c r="L292" s="28"/>
      <c r="M292" s="28"/>
      <c r="N292" s="103"/>
    </row>
    <row r="293" spans="4:14" ht="15">
      <c r="D293" s="40" t="s">
        <v>105</v>
      </c>
      <c r="E293" s="16"/>
      <c r="F293" s="16"/>
      <c r="G293" s="65"/>
      <c r="H293" s="16"/>
      <c r="I293" s="16"/>
      <c r="J293" s="16"/>
      <c r="K293" s="104"/>
      <c r="L293" s="28"/>
      <c r="M293" s="28"/>
      <c r="N293" s="103"/>
    </row>
    <row r="294" spans="4:14" ht="15">
      <c r="D294" s="16"/>
      <c r="E294" s="16"/>
      <c r="F294" s="16"/>
      <c r="G294" s="65"/>
      <c r="H294" s="16"/>
      <c r="I294" s="16"/>
      <c r="J294" s="16"/>
      <c r="K294" s="119">
        <v>53340</v>
      </c>
      <c r="L294" s="305"/>
      <c r="M294" s="227">
        <f>+N291</f>
        <v>0.015157344002462107</v>
      </c>
      <c r="N294" s="228">
        <f>+M294*K294</f>
        <v>808.4927290913288</v>
      </c>
    </row>
    <row r="295" spans="4:14" ht="15">
      <c r="D295" s="16"/>
      <c r="E295" s="16"/>
      <c r="F295" s="16"/>
      <c r="G295" s="65"/>
      <c r="H295" s="16"/>
      <c r="I295" s="16"/>
      <c r="J295" s="16"/>
      <c r="K295" s="16"/>
      <c r="L295" s="16"/>
      <c r="M295" s="16"/>
      <c r="N295" s="16"/>
    </row>
    <row r="296" spans="4:14" ht="15">
      <c r="D296" s="16"/>
      <c r="E296" s="16"/>
      <c r="F296" s="16"/>
      <c r="G296" s="65"/>
      <c r="H296" s="16"/>
      <c r="I296" s="16"/>
      <c r="J296" s="16"/>
      <c r="K296" s="16"/>
      <c r="L296" s="16"/>
      <c r="M296" s="16"/>
      <c r="N296" s="16"/>
    </row>
    <row r="297" spans="4:14" ht="15">
      <c r="D297" s="16"/>
      <c r="E297" s="16"/>
      <c r="F297" s="16"/>
      <c r="G297" s="65"/>
      <c r="H297" s="16"/>
      <c r="I297" s="16"/>
      <c r="J297" s="16"/>
      <c r="K297" s="16"/>
      <c r="L297" s="16"/>
      <c r="M297" s="16"/>
      <c r="N297" s="16"/>
    </row>
    <row r="298" spans="4:14" ht="15">
      <c r="D298" s="16"/>
      <c r="E298" s="16"/>
      <c r="F298" s="16"/>
      <c r="G298" s="65"/>
      <c r="H298" s="16"/>
      <c r="I298" s="16"/>
      <c r="J298" s="16"/>
      <c r="K298" s="16"/>
      <c r="L298" s="16"/>
      <c r="M298" s="16"/>
      <c r="N298" s="16"/>
    </row>
    <row r="299" spans="4:14" ht="15">
      <c r="D299" s="16"/>
      <c r="E299" s="16"/>
      <c r="F299" s="16"/>
      <c r="G299" s="65"/>
      <c r="H299" s="16"/>
      <c r="I299" s="16"/>
      <c r="J299" s="16"/>
      <c r="K299" s="16"/>
      <c r="L299" s="16"/>
      <c r="M299" s="16"/>
      <c r="N299" s="16"/>
    </row>
    <row r="300" spans="4:14" ht="15">
      <c r="D300" s="16"/>
      <c r="E300" s="16"/>
      <c r="F300" s="16"/>
      <c r="G300" s="65"/>
      <c r="H300" s="16"/>
      <c r="I300" s="16"/>
      <c r="J300" s="16"/>
      <c r="K300" s="16"/>
      <c r="L300" s="16"/>
      <c r="M300" s="16"/>
      <c r="N300" s="16"/>
    </row>
    <row r="301" spans="4:14" ht="15">
      <c r="D301" s="16"/>
      <c r="E301" s="16"/>
      <c r="F301" s="16"/>
      <c r="G301" s="65"/>
      <c r="H301" s="16"/>
      <c r="I301" s="16"/>
      <c r="J301" s="16"/>
      <c r="K301" s="16"/>
      <c r="L301" s="16"/>
      <c r="M301" s="16"/>
      <c r="N301" s="16"/>
    </row>
    <row r="302" spans="4:14" ht="15">
      <c r="D302" s="16"/>
      <c r="E302" s="16"/>
      <c r="F302" s="16"/>
      <c r="G302" s="65"/>
      <c r="H302" s="16"/>
      <c r="I302" s="16"/>
      <c r="J302" s="16"/>
      <c r="K302" s="16"/>
      <c r="L302" s="16"/>
      <c r="M302" s="16"/>
      <c r="N302" s="16"/>
    </row>
    <row r="303" spans="4:14" ht="15">
      <c r="D303" s="16"/>
      <c r="E303" s="16"/>
      <c r="F303" s="16"/>
      <c r="G303" s="65"/>
      <c r="H303" s="16"/>
      <c r="I303" s="16"/>
      <c r="J303" s="16"/>
      <c r="K303" s="16"/>
      <c r="L303" s="16"/>
      <c r="M303" s="16"/>
      <c r="N303" s="16"/>
    </row>
    <row r="304" spans="4:14" ht="15">
      <c r="D304" s="16"/>
      <c r="E304" s="16"/>
      <c r="F304" s="16"/>
      <c r="G304" s="65"/>
      <c r="H304" s="16"/>
      <c r="I304" s="16"/>
      <c r="J304" s="16"/>
      <c r="K304" s="16"/>
      <c r="L304" s="16"/>
      <c r="M304" s="16"/>
      <c r="N304" s="16"/>
    </row>
    <row r="305" spans="4:14" ht="15">
      <c r="D305" s="16"/>
      <c r="E305" s="16"/>
      <c r="F305" s="16"/>
      <c r="G305" s="65"/>
      <c r="H305" s="16"/>
      <c r="I305" s="16"/>
      <c r="J305" s="16"/>
      <c r="K305" s="16"/>
      <c r="L305" s="16"/>
      <c r="M305" s="16"/>
      <c r="N305" s="16"/>
    </row>
    <row r="306" spans="4:14" ht="15">
      <c r="D306" s="16"/>
      <c r="E306" s="16"/>
      <c r="F306" s="16"/>
      <c r="G306" s="65"/>
      <c r="H306" s="16"/>
      <c r="I306" s="16"/>
      <c r="J306" s="16"/>
      <c r="K306" s="16"/>
      <c r="L306" s="16"/>
      <c r="M306" s="16"/>
      <c r="N306" s="16"/>
    </row>
    <row r="307" spans="4:14" ht="15">
      <c r="D307" s="16"/>
      <c r="E307" s="16"/>
      <c r="F307" s="16"/>
      <c r="G307" s="65"/>
      <c r="H307" s="16"/>
      <c r="I307" s="16"/>
      <c r="J307" s="16"/>
      <c r="K307" s="16"/>
      <c r="L307" s="16"/>
      <c r="M307" s="16"/>
      <c r="N307" s="16"/>
    </row>
    <row r="308" spans="4:14" ht="15">
      <c r="D308" s="16"/>
      <c r="E308" s="16"/>
      <c r="F308" s="16"/>
      <c r="G308" s="65"/>
      <c r="H308" s="16"/>
      <c r="I308" s="16"/>
      <c r="J308" s="16"/>
      <c r="K308" s="16"/>
      <c r="L308" s="16"/>
      <c r="M308" s="16"/>
      <c r="N308" s="16"/>
    </row>
    <row r="309" spans="4:14" ht="18.75">
      <c r="D309" s="197" t="s">
        <v>106</v>
      </c>
      <c r="E309" s="16"/>
      <c r="F309" s="16"/>
      <c r="G309" s="65"/>
      <c r="H309" s="16"/>
      <c r="I309" s="16"/>
      <c r="J309" s="16"/>
      <c r="K309" s="16"/>
      <c r="L309" s="16"/>
      <c r="M309" s="16"/>
      <c r="N309" s="16"/>
    </row>
    <row r="310" spans="4:14" ht="15.75" thickBot="1">
      <c r="D310" s="40"/>
      <c r="E310" s="16"/>
      <c r="F310" s="16"/>
      <c r="G310" s="65"/>
      <c r="M310" s="16"/>
      <c r="N310" s="16"/>
    </row>
    <row r="311" spans="4:14" ht="15.75" thickBot="1">
      <c r="D311" s="41" t="s">
        <v>107</v>
      </c>
      <c r="E311" s="42" t="s">
        <v>14</v>
      </c>
      <c r="F311" s="42" t="s">
        <v>15</v>
      </c>
      <c r="G311" s="170" t="s">
        <v>16</v>
      </c>
      <c r="H311" s="42"/>
      <c r="I311" s="42" t="s">
        <v>14</v>
      </c>
      <c r="J311" s="42" t="s">
        <v>15</v>
      </c>
      <c r="K311" s="43" t="s">
        <v>16</v>
      </c>
      <c r="L311" s="28"/>
      <c r="M311" s="16"/>
      <c r="N311" s="16"/>
    </row>
    <row r="312" spans="4:14" ht="15">
      <c r="D312" s="21" t="s">
        <v>10</v>
      </c>
      <c r="E312" s="21">
        <v>0</v>
      </c>
      <c r="F312" s="21">
        <v>0</v>
      </c>
      <c r="G312" s="84">
        <v>0</v>
      </c>
      <c r="H312" s="21" t="s">
        <v>31</v>
      </c>
      <c r="I312" s="21">
        <v>13000</v>
      </c>
      <c r="J312" s="81">
        <f>+F317</f>
        <v>75.65685996691481</v>
      </c>
      <c r="K312" s="21">
        <f>+J312*I312</f>
        <v>983539.1795698925</v>
      </c>
      <c r="L312" s="28"/>
      <c r="M312" s="16"/>
      <c r="N312" s="16"/>
    </row>
    <row r="313" spans="4:12" ht="15">
      <c r="D313" s="19"/>
      <c r="E313" s="19"/>
      <c r="F313" s="19"/>
      <c r="G313" s="67"/>
      <c r="H313" s="19"/>
      <c r="I313" s="19"/>
      <c r="J313" s="19"/>
      <c r="K313" s="19"/>
      <c r="L313" s="28"/>
    </row>
    <row r="314" spans="4:12" ht="15">
      <c r="D314" s="19"/>
      <c r="E314" s="19"/>
      <c r="F314" s="19"/>
      <c r="G314" s="67"/>
      <c r="H314" s="19"/>
      <c r="I314" s="19"/>
      <c r="J314" s="19"/>
      <c r="K314" s="19"/>
      <c r="L314" s="28"/>
    </row>
    <row r="315" spans="4:12" ht="15">
      <c r="D315" s="19"/>
      <c r="E315" s="19"/>
      <c r="F315" s="19"/>
      <c r="G315" s="67"/>
      <c r="H315" s="19"/>
      <c r="I315" s="19"/>
      <c r="J315" s="19"/>
      <c r="K315" s="19"/>
      <c r="L315" s="28"/>
    </row>
    <row r="316" spans="4:12" ht="15">
      <c r="D316" s="19"/>
      <c r="E316" s="19"/>
      <c r="F316" s="19"/>
      <c r="G316" s="67"/>
      <c r="H316" s="19"/>
      <c r="I316" s="19"/>
      <c r="J316" s="19"/>
      <c r="K316" s="19"/>
      <c r="L316" s="28"/>
    </row>
    <row r="317" spans="4:12" ht="15">
      <c r="D317" s="19" t="s">
        <v>23</v>
      </c>
      <c r="E317" s="19">
        <v>13000</v>
      </c>
      <c r="F317" s="69">
        <f>+G317/E317</f>
        <v>75.65685996691481</v>
      </c>
      <c r="G317" s="67">
        <f>+G181</f>
        <v>983539.1795698925</v>
      </c>
      <c r="H317" s="19" t="s">
        <v>34</v>
      </c>
      <c r="I317" s="19">
        <v>0</v>
      </c>
      <c r="J317" s="19">
        <v>0</v>
      </c>
      <c r="K317" s="19">
        <v>0</v>
      </c>
      <c r="L317" s="28"/>
    </row>
    <row r="318" spans="4:12" ht="15.75" thickBot="1">
      <c r="D318" s="20"/>
      <c r="E318" s="20"/>
      <c r="F318" s="20"/>
      <c r="G318" s="90"/>
      <c r="H318" s="20"/>
      <c r="I318" s="20"/>
      <c r="J318" s="20"/>
      <c r="K318" s="20"/>
      <c r="L318" s="28"/>
    </row>
    <row r="319" spans="4:12" ht="15.75" thickBot="1">
      <c r="D319" s="41" t="s">
        <v>22</v>
      </c>
      <c r="E319" s="42">
        <f>E317+E312</f>
        <v>13000</v>
      </c>
      <c r="F319" s="82">
        <f>+G319/E319</f>
        <v>75.65685996691481</v>
      </c>
      <c r="G319" s="170">
        <f>+G317+G312</f>
        <v>983539.1795698925</v>
      </c>
      <c r="H319" s="42" t="s">
        <v>22</v>
      </c>
      <c r="I319" s="42">
        <f>I317+I312</f>
        <v>13000</v>
      </c>
      <c r="J319" s="82">
        <f>+K319/I319</f>
        <v>75.65685996691481</v>
      </c>
      <c r="K319" s="42">
        <f>+K317+K312</f>
        <v>983539.1795698925</v>
      </c>
      <c r="L319" s="28"/>
    </row>
    <row r="320" ht="15">
      <c r="G320" s="101"/>
    </row>
    <row r="321" ht="15">
      <c r="G321" s="101"/>
    </row>
    <row r="322" ht="15">
      <c r="G322" s="101"/>
    </row>
    <row r="323" ht="15">
      <c r="G323" s="101"/>
    </row>
    <row r="324" spans="4:7" ht="19.5" thickBot="1">
      <c r="D324" s="145" t="s">
        <v>180</v>
      </c>
      <c r="E324" s="16"/>
      <c r="F324" s="16"/>
      <c r="G324" s="65"/>
    </row>
    <row r="325" spans="4:7" ht="15.75" thickBot="1">
      <c r="D325" s="16"/>
      <c r="E325" s="54" t="s">
        <v>14</v>
      </c>
      <c r="F325" s="54" t="s">
        <v>15</v>
      </c>
      <c r="G325" s="171" t="s">
        <v>16</v>
      </c>
    </row>
    <row r="326" spans="4:7" ht="15.75" thickBot="1">
      <c r="D326" s="41" t="s">
        <v>51</v>
      </c>
      <c r="E326" s="42"/>
      <c r="F326" s="42"/>
      <c r="G326" s="89" t="s">
        <v>52</v>
      </c>
    </row>
    <row r="327" spans="4:7" ht="15">
      <c r="D327" s="21"/>
      <c r="E327" s="21"/>
      <c r="F327" s="21"/>
      <c r="G327" s="84"/>
    </row>
    <row r="328" spans="4:7" ht="15">
      <c r="D328" s="21" t="s">
        <v>100</v>
      </c>
      <c r="E328" s="21"/>
      <c r="F328" s="33" t="s">
        <v>101</v>
      </c>
      <c r="G328" s="84"/>
    </row>
    <row r="329" spans="4:7" ht="15">
      <c r="D329" s="19" t="s">
        <v>53</v>
      </c>
      <c r="E329" s="19" t="s">
        <v>56</v>
      </c>
      <c r="F329" s="19"/>
      <c r="G329" s="67"/>
    </row>
    <row r="330" spans="4:7" ht="15">
      <c r="D330" s="19" t="s">
        <v>54</v>
      </c>
      <c r="E330" s="19"/>
      <c r="F330" s="19"/>
      <c r="G330" s="67"/>
    </row>
    <row r="331" spans="4:7" ht="15">
      <c r="D331" s="55" t="s">
        <v>55</v>
      </c>
      <c r="E331" s="19"/>
      <c r="F331" s="19"/>
      <c r="G331" s="67"/>
    </row>
    <row r="332" spans="4:7" ht="15.75" thickBot="1">
      <c r="D332" s="20"/>
      <c r="E332" s="20"/>
      <c r="F332" s="20"/>
      <c r="G332" s="90"/>
    </row>
    <row r="333" spans="4:7" ht="15.75" thickBot="1">
      <c r="D333" s="72" t="s">
        <v>57</v>
      </c>
      <c r="E333" s="42"/>
      <c r="F333" s="42"/>
      <c r="G333" s="91" t="s">
        <v>58</v>
      </c>
    </row>
    <row r="334" spans="4:7" ht="15.75" thickBot="1">
      <c r="D334" s="16"/>
      <c r="E334" s="16"/>
      <c r="F334" s="16"/>
      <c r="G334" s="65"/>
    </row>
    <row r="335" spans="4:7" ht="15.75" thickBot="1">
      <c r="D335" s="41" t="s">
        <v>59</v>
      </c>
      <c r="E335" s="42">
        <v>13000</v>
      </c>
      <c r="F335" s="73">
        <f>+G335/E335</f>
        <v>75.65684615384616</v>
      </c>
      <c r="G335" s="89">
        <v>983539</v>
      </c>
    </row>
    <row r="336" ht="15">
      <c r="G336" s="101"/>
    </row>
    <row r="337" ht="15">
      <c r="G337" s="101"/>
    </row>
    <row r="338" ht="15">
      <c r="G338" s="101"/>
    </row>
    <row r="339" spans="4:7" ht="19.5" thickBot="1">
      <c r="D339" s="145" t="s">
        <v>180</v>
      </c>
      <c r="E339" s="16"/>
      <c r="F339" s="16"/>
      <c r="G339" s="65"/>
    </row>
    <row r="340" spans="4:7" ht="15.75" thickBot="1">
      <c r="D340" s="16"/>
      <c r="E340" s="54" t="s">
        <v>14</v>
      </c>
      <c r="F340" s="54" t="s">
        <v>15</v>
      </c>
      <c r="G340" s="171" t="s">
        <v>16</v>
      </c>
    </row>
    <row r="341" spans="4:7" ht="15.75" thickBot="1">
      <c r="D341" s="41" t="s">
        <v>51</v>
      </c>
      <c r="E341" s="42"/>
      <c r="F341" s="42"/>
      <c r="G341" s="89">
        <v>20379</v>
      </c>
    </row>
    <row r="342" spans="4:7" ht="15">
      <c r="D342" s="21"/>
      <c r="E342" s="21"/>
      <c r="F342" s="21"/>
      <c r="G342" s="84"/>
    </row>
    <row r="343" spans="4:7" ht="15">
      <c r="D343" s="21" t="s">
        <v>100</v>
      </c>
      <c r="E343" s="21">
        <v>13000</v>
      </c>
      <c r="F343" s="88">
        <f>+J312</f>
        <v>75.65685996691481</v>
      </c>
      <c r="G343" s="84">
        <f>+F343*E343</f>
        <v>983539.1795698925</v>
      </c>
    </row>
    <row r="344" spans="4:7" ht="15">
      <c r="D344" s="19" t="s">
        <v>53</v>
      </c>
      <c r="E344" s="19">
        <f>I240</f>
        <v>210</v>
      </c>
      <c r="F344" s="57">
        <f>J240</f>
        <v>254</v>
      </c>
      <c r="G344" s="84">
        <f>+F344*E344</f>
        <v>53340</v>
      </c>
    </row>
    <row r="345" spans="4:7" ht="15">
      <c r="D345" s="19" t="s">
        <v>54</v>
      </c>
      <c r="E345" s="19">
        <v>6600</v>
      </c>
      <c r="F345" s="19">
        <v>50</v>
      </c>
      <c r="G345" s="84">
        <f>+F345*E345</f>
        <v>330000</v>
      </c>
    </row>
    <row r="346" spans="4:7" ht="15">
      <c r="D346" s="55" t="s">
        <v>55</v>
      </c>
      <c r="E346" s="19">
        <v>6600</v>
      </c>
      <c r="F346" s="19">
        <v>20</v>
      </c>
      <c r="G346" s="84">
        <f>+F346*E346</f>
        <v>132000</v>
      </c>
    </row>
    <row r="347" spans="4:7" ht="15.75" thickBot="1">
      <c r="D347" s="20"/>
      <c r="E347" s="20"/>
      <c r="F347" s="20"/>
      <c r="G347" s="90"/>
    </row>
    <row r="348" spans="4:7" ht="15.75" thickBot="1">
      <c r="D348" s="72" t="s">
        <v>57</v>
      </c>
      <c r="E348" s="42"/>
      <c r="F348" s="42"/>
      <c r="G348" s="91">
        <f>-O288</f>
        <v>-30400.05799007444</v>
      </c>
    </row>
    <row r="349" spans="4:7" ht="15.75" thickBot="1">
      <c r="D349" s="16"/>
      <c r="E349" s="16"/>
      <c r="F349" s="16"/>
      <c r="G349" s="65"/>
    </row>
    <row r="350" spans="4:7" ht="15.75" thickBot="1">
      <c r="D350" s="41" t="s">
        <v>59</v>
      </c>
      <c r="E350" s="42">
        <v>52000</v>
      </c>
      <c r="F350" s="78">
        <f>+G350/E350</f>
        <v>28.631886953458043</v>
      </c>
      <c r="G350" s="89">
        <f>SUM(G341:G348)</f>
        <v>1488858.1215798182</v>
      </c>
    </row>
    <row r="351" ht="15">
      <c r="G351" s="101"/>
    </row>
    <row r="352" spans="7:12" ht="15">
      <c r="G352" s="101"/>
      <c r="H352" s="16"/>
      <c r="I352" s="16"/>
      <c r="J352" s="16"/>
      <c r="K352" s="16"/>
      <c r="L352" s="16"/>
    </row>
    <row r="353" spans="4:12" ht="18.75">
      <c r="D353" s="197" t="s">
        <v>95</v>
      </c>
      <c r="E353" s="16"/>
      <c r="F353" s="16"/>
      <c r="G353" s="65"/>
      <c r="H353" s="16"/>
      <c r="I353" s="16"/>
      <c r="J353" s="16"/>
      <c r="K353" s="16"/>
      <c r="L353" s="16"/>
    </row>
    <row r="354" spans="4:7" ht="15.75" thickBot="1">
      <c r="D354" s="40"/>
      <c r="E354" s="16"/>
      <c r="F354" s="16"/>
      <c r="G354" s="65"/>
    </row>
    <row r="355" spans="4:12" ht="15.75" thickBot="1">
      <c r="D355" s="41" t="s">
        <v>122</v>
      </c>
      <c r="E355" s="42" t="s">
        <v>14</v>
      </c>
      <c r="F355" s="42" t="s">
        <v>15</v>
      </c>
      <c r="G355" s="170" t="s">
        <v>16</v>
      </c>
      <c r="H355" s="42"/>
      <c r="I355" s="42" t="s">
        <v>14</v>
      </c>
      <c r="J355" s="42" t="s">
        <v>15</v>
      </c>
      <c r="K355" s="43" t="s">
        <v>16</v>
      </c>
      <c r="L355" s="28"/>
    </row>
    <row r="356" spans="4:12" ht="15">
      <c r="D356" s="103"/>
      <c r="E356" s="85"/>
      <c r="F356" s="85"/>
      <c r="G356" s="172"/>
      <c r="H356" s="85"/>
      <c r="I356" s="85"/>
      <c r="J356" s="85"/>
      <c r="K356" s="104"/>
      <c r="L356" s="28"/>
    </row>
    <row r="357" spans="4:12" ht="15">
      <c r="D357" s="19" t="s">
        <v>10</v>
      </c>
      <c r="E357" s="46">
        <v>2000</v>
      </c>
      <c r="F357" s="105">
        <v>29.3</v>
      </c>
      <c r="G357" s="67">
        <f>F357*E357</f>
        <v>58600</v>
      </c>
      <c r="H357" s="19" t="s">
        <v>31</v>
      </c>
      <c r="I357" s="46">
        <f>1500*3*10</f>
        <v>45000</v>
      </c>
      <c r="J357" s="57"/>
      <c r="K357" s="19"/>
      <c r="L357" s="28"/>
    </row>
    <row r="358" spans="4:12" ht="15.75" thickBot="1">
      <c r="D358" s="19"/>
      <c r="E358" s="46"/>
      <c r="F358" s="19"/>
      <c r="G358" s="67"/>
      <c r="H358" s="19"/>
      <c r="I358" s="239">
        <v>7200</v>
      </c>
      <c r="J358" s="111"/>
      <c r="K358" s="111"/>
      <c r="L358" s="28"/>
    </row>
    <row r="359" spans="4:12" ht="15.75" thickTop="1">
      <c r="D359" s="19"/>
      <c r="E359" s="46"/>
      <c r="F359" s="19"/>
      <c r="G359" s="67"/>
      <c r="H359" s="19"/>
      <c r="I359" s="48">
        <f>I358+I357</f>
        <v>52200</v>
      </c>
      <c r="J359" s="77">
        <f>F363</f>
        <v>28.656631881107746</v>
      </c>
      <c r="K359" s="84">
        <f>J359*I359</f>
        <v>1495876.1841938244</v>
      </c>
      <c r="L359" s="128"/>
    </row>
    <row r="360" spans="4:12" ht="15">
      <c r="D360" s="19"/>
      <c r="E360" s="46"/>
      <c r="F360" s="19"/>
      <c r="G360" s="67"/>
      <c r="H360" s="19"/>
      <c r="I360" s="46"/>
      <c r="J360" s="19"/>
      <c r="K360" s="19"/>
      <c r="L360" s="28"/>
    </row>
    <row r="361" spans="4:12" ht="15">
      <c r="D361" s="19" t="s">
        <v>23</v>
      </c>
      <c r="E361" s="46">
        <f>E350</f>
        <v>52000</v>
      </c>
      <c r="F361" s="94">
        <f>G361/E361</f>
        <v>28.631886953458043</v>
      </c>
      <c r="G361" s="67">
        <f>G350</f>
        <v>1488858.1215798182</v>
      </c>
      <c r="H361" s="19" t="s">
        <v>34</v>
      </c>
      <c r="I361" s="46">
        <f>+E363-I359</f>
        <v>1800</v>
      </c>
      <c r="J361" s="57">
        <f>J359</f>
        <v>28.656631881107746</v>
      </c>
      <c r="K361" s="46">
        <f>+J361*I361</f>
        <v>51581.937385993944</v>
      </c>
      <c r="L361" s="211"/>
    </row>
    <row r="362" spans="4:12" ht="15.75" thickBot="1">
      <c r="D362" s="20"/>
      <c r="E362" s="70"/>
      <c r="F362" s="20"/>
      <c r="G362" s="90"/>
      <c r="H362" s="20"/>
      <c r="I362" s="70"/>
      <c r="J362" s="20"/>
      <c r="K362" s="20"/>
      <c r="L362" s="28"/>
    </row>
    <row r="363" spans="4:12" ht="15.75" thickBot="1">
      <c r="D363" s="106" t="s">
        <v>22</v>
      </c>
      <c r="E363" s="107">
        <f>+E361+E357</f>
        <v>54000</v>
      </c>
      <c r="F363" s="210">
        <f>+G363/E363</f>
        <v>28.656631881107746</v>
      </c>
      <c r="G363" s="109">
        <f>+G361+G357</f>
        <v>1547458.1215798182</v>
      </c>
      <c r="H363" s="110" t="s">
        <v>22</v>
      </c>
      <c r="I363" s="107">
        <f>I361+I359</f>
        <v>54000</v>
      </c>
      <c r="J363" s="108">
        <f>F363</f>
        <v>28.656631881107746</v>
      </c>
      <c r="K363" s="112">
        <f>K361+K359</f>
        <v>1547458.1215798184</v>
      </c>
      <c r="L363" s="306"/>
    </row>
    <row r="364" spans="5:9" ht="15">
      <c r="E364" s="95"/>
      <c r="G364" s="101"/>
      <c r="I364" s="95"/>
    </row>
    <row r="365" spans="4:12" ht="18.75">
      <c r="D365" s="197" t="s">
        <v>186</v>
      </c>
      <c r="E365" s="16"/>
      <c r="F365" s="16"/>
      <c r="G365" s="65"/>
      <c r="H365" s="16"/>
      <c r="I365" s="168"/>
      <c r="J365" s="16"/>
      <c r="K365" s="16"/>
      <c r="L365" s="16"/>
    </row>
    <row r="366" spans="4:9" ht="15.75" thickBot="1">
      <c r="D366" s="40"/>
      <c r="E366" s="16"/>
      <c r="F366" s="16"/>
      <c r="G366" s="65"/>
      <c r="I366" s="95"/>
    </row>
    <row r="367" spans="4:12" ht="15.75" thickBot="1">
      <c r="D367" s="41" t="s">
        <v>210</v>
      </c>
      <c r="E367" s="42" t="s">
        <v>14</v>
      </c>
      <c r="F367" s="42" t="s">
        <v>15</v>
      </c>
      <c r="G367" s="170" t="s">
        <v>16</v>
      </c>
      <c r="H367" s="42"/>
      <c r="I367" s="167" t="s">
        <v>14</v>
      </c>
      <c r="J367" s="42" t="s">
        <v>15</v>
      </c>
      <c r="K367" s="43" t="s">
        <v>16</v>
      </c>
      <c r="L367" s="28"/>
    </row>
    <row r="368" spans="4:12" ht="15">
      <c r="D368" s="103"/>
      <c r="E368" s="85"/>
      <c r="F368" s="85"/>
      <c r="G368" s="172"/>
      <c r="H368" s="85"/>
      <c r="I368" s="213"/>
      <c r="J368" s="85"/>
      <c r="K368" s="104"/>
      <c r="L368" s="28"/>
    </row>
    <row r="369" spans="4:12" ht="15">
      <c r="D369" s="19" t="s">
        <v>10</v>
      </c>
      <c r="E369" s="46">
        <v>2200</v>
      </c>
      <c r="F369" s="105">
        <v>0.5</v>
      </c>
      <c r="G369" s="67">
        <f>F369*E369</f>
        <v>1100</v>
      </c>
      <c r="H369" s="19" t="s">
        <v>31</v>
      </c>
      <c r="I369" s="46">
        <f>J406</f>
        <v>3150</v>
      </c>
      <c r="J369" s="57">
        <f>F375</f>
        <v>0.5</v>
      </c>
      <c r="K369" s="57">
        <f>J369*I369</f>
        <v>1575</v>
      </c>
      <c r="L369" s="307"/>
    </row>
    <row r="370" spans="4:12" ht="15.75" thickBot="1">
      <c r="D370" s="19"/>
      <c r="E370" s="46"/>
      <c r="F370" s="19"/>
      <c r="G370" s="67"/>
      <c r="H370" s="19"/>
      <c r="I370" s="239"/>
      <c r="J370" s="111"/>
      <c r="K370" s="111"/>
      <c r="L370" s="28"/>
    </row>
    <row r="371" spans="4:12" ht="15.75" thickTop="1">
      <c r="D371" s="19"/>
      <c r="E371" s="46"/>
      <c r="F371" s="19"/>
      <c r="G371" s="67"/>
      <c r="H371" s="19" t="s">
        <v>188</v>
      </c>
      <c r="I371" s="48">
        <v>3400</v>
      </c>
      <c r="J371" s="77">
        <f>F375</f>
        <v>0.5</v>
      </c>
      <c r="K371" s="84">
        <f>J371*I371</f>
        <v>1700</v>
      </c>
      <c r="L371" s="128"/>
    </row>
    <row r="372" spans="4:12" ht="15">
      <c r="D372" s="19"/>
      <c r="E372" s="46"/>
      <c r="F372" s="19"/>
      <c r="G372" s="67"/>
      <c r="H372" s="19"/>
      <c r="I372" s="46"/>
      <c r="J372" s="19"/>
      <c r="K372" s="19"/>
      <c r="L372" s="28"/>
    </row>
    <row r="373" spans="4:12" ht="15">
      <c r="D373" s="19" t="s">
        <v>23</v>
      </c>
      <c r="E373" s="46">
        <v>17000</v>
      </c>
      <c r="F373" s="94">
        <v>0.5</v>
      </c>
      <c r="G373" s="67">
        <f>F373*E373</f>
        <v>8500</v>
      </c>
      <c r="H373" s="19" t="s">
        <v>34</v>
      </c>
      <c r="I373" s="46">
        <f>E375-I371-I369</f>
        <v>12650</v>
      </c>
      <c r="J373" s="57">
        <f>J371</f>
        <v>0.5</v>
      </c>
      <c r="K373" s="46">
        <f>+J373*I373</f>
        <v>6325</v>
      </c>
      <c r="L373" s="211"/>
    </row>
    <row r="374" spans="4:12" ht="15.75" thickBot="1">
      <c r="D374" s="20"/>
      <c r="E374" s="70"/>
      <c r="F374" s="20"/>
      <c r="G374" s="90"/>
      <c r="H374" s="20"/>
      <c r="I374" s="70"/>
      <c r="J374" s="20"/>
      <c r="K374" s="20"/>
      <c r="L374" s="28"/>
    </row>
    <row r="375" spans="4:12" ht="15.75" thickBot="1">
      <c r="D375" s="106" t="s">
        <v>22</v>
      </c>
      <c r="E375" s="107">
        <f>+E373+E369</f>
        <v>19200</v>
      </c>
      <c r="F375" s="108">
        <f>+G375/E375</f>
        <v>0.5</v>
      </c>
      <c r="G375" s="109">
        <f>+G373+G369</f>
        <v>9600</v>
      </c>
      <c r="H375" s="110" t="s">
        <v>22</v>
      </c>
      <c r="I375" s="107">
        <f>I373+I371</f>
        <v>16050</v>
      </c>
      <c r="J375" s="108">
        <f>F375</f>
        <v>0.5</v>
      </c>
      <c r="K375" s="112">
        <f>SUM(K369:K373)</f>
        <v>9600</v>
      </c>
      <c r="L375" s="306"/>
    </row>
    <row r="376" spans="7:9" ht="15">
      <c r="G376" s="101"/>
      <c r="I376" s="95"/>
    </row>
    <row r="377" spans="7:9" ht="15">
      <c r="G377" s="101"/>
      <c r="I377" s="95"/>
    </row>
    <row r="378" spans="7:9" ht="15">
      <c r="G378" s="101"/>
      <c r="I378" s="95"/>
    </row>
    <row r="379" spans="4:12" ht="18.75">
      <c r="D379" s="197" t="s">
        <v>187</v>
      </c>
      <c r="E379" s="16"/>
      <c r="F379" s="16"/>
      <c r="G379" s="65"/>
      <c r="H379" s="16"/>
      <c r="I379" s="16"/>
      <c r="J379" s="16"/>
      <c r="K379" s="16"/>
      <c r="L379" s="16"/>
    </row>
    <row r="380" spans="4:7" ht="15.75" thickBot="1">
      <c r="D380" s="40"/>
      <c r="E380" s="16"/>
      <c r="F380" s="16"/>
      <c r="G380" s="65"/>
    </row>
    <row r="381" spans="4:12" ht="15.75" thickBot="1">
      <c r="D381" s="41" t="s">
        <v>211</v>
      </c>
      <c r="E381" s="42" t="s">
        <v>14</v>
      </c>
      <c r="F381" s="42" t="s">
        <v>15</v>
      </c>
      <c r="G381" s="170" t="s">
        <v>16</v>
      </c>
      <c r="H381" s="42"/>
      <c r="I381" s="42" t="s">
        <v>14</v>
      </c>
      <c r="J381" s="42" t="s">
        <v>15</v>
      </c>
      <c r="K381" s="43" t="s">
        <v>16</v>
      </c>
      <c r="L381" s="28"/>
    </row>
    <row r="382" spans="4:12" ht="15">
      <c r="D382" s="103"/>
      <c r="E382" s="85"/>
      <c r="F382" s="85"/>
      <c r="G382" s="172"/>
      <c r="H382" s="85"/>
      <c r="I382" s="85"/>
      <c r="J382" s="85"/>
      <c r="K382" s="104"/>
      <c r="L382" s="28"/>
    </row>
    <row r="383" spans="4:12" ht="15">
      <c r="D383" s="19" t="s">
        <v>10</v>
      </c>
      <c r="E383" s="46">
        <v>1120</v>
      </c>
      <c r="F383" s="105">
        <v>5.7</v>
      </c>
      <c r="G383" s="67">
        <f>F383*E383</f>
        <v>6384</v>
      </c>
      <c r="H383" s="19" t="s">
        <v>31</v>
      </c>
      <c r="I383" s="19">
        <v>300</v>
      </c>
      <c r="J383" s="57">
        <v>5.13</v>
      </c>
      <c r="K383" s="57">
        <f>J383*I383</f>
        <v>1539</v>
      </c>
      <c r="L383" s="307"/>
    </row>
    <row r="384" spans="4:12" ht="15.75" thickBot="1">
      <c r="D384" s="19"/>
      <c r="E384" s="46"/>
      <c r="F384" s="19"/>
      <c r="G384" s="67"/>
      <c r="H384" s="19"/>
      <c r="I384" s="111"/>
      <c r="J384" s="111"/>
      <c r="K384" s="111"/>
      <c r="L384" s="28"/>
    </row>
    <row r="385" spans="4:12" ht="15.75" thickTop="1">
      <c r="D385" s="19"/>
      <c r="E385" s="46"/>
      <c r="F385" s="19"/>
      <c r="G385" s="67"/>
      <c r="H385" s="19" t="s">
        <v>203</v>
      </c>
      <c r="I385" s="48">
        <f>E389</f>
        <v>6120</v>
      </c>
      <c r="J385" s="209">
        <f>-(J383-F389)</f>
        <v>-0.0018954248366007675</v>
      </c>
      <c r="K385" s="84">
        <f>J385*I385</f>
        <v>-11.599999999996697</v>
      </c>
      <c r="L385" s="128"/>
    </row>
    <row r="386" spans="4:12" ht="15">
      <c r="D386" s="19"/>
      <c r="E386" s="46"/>
      <c r="F386" s="19"/>
      <c r="G386" s="67"/>
      <c r="H386" s="19"/>
      <c r="I386" s="19"/>
      <c r="J386" s="19"/>
      <c r="K386" s="19"/>
      <c r="L386" s="28"/>
    </row>
    <row r="387" spans="4:12" ht="15">
      <c r="D387" s="19" t="s">
        <v>23</v>
      </c>
      <c r="E387" s="46">
        <v>5000</v>
      </c>
      <c r="F387" s="94">
        <v>5</v>
      </c>
      <c r="G387" s="67">
        <f>+F387*E387</f>
        <v>25000</v>
      </c>
      <c r="H387" s="19" t="s">
        <v>34</v>
      </c>
      <c r="I387" s="46">
        <f>+E389-I383</f>
        <v>5820</v>
      </c>
      <c r="J387" s="57">
        <f>+J383</f>
        <v>5.13</v>
      </c>
      <c r="K387" s="46">
        <f>+J387*I387</f>
        <v>29856.6</v>
      </c>
      <c r="L387" s="211"/>
    </row>
    <row r="388" spans="4:12" ht="15.75" thickBot="1">
      <c r="D388" s="20"/>
      <c r="E388" s="70"/>
      <c r="F388" s="20"/>
      <c r="G388" s="90"/>
      <c r="H388" s="20"/>
      <c r="I388" s="20"/>
      <c r="J388" s="20"/>
      <c r="K388" s="20"/>
      <c r="L388" s="28"/>
    </row>
    <row r="389" spans="4:12" ht="15.75" thickBot="1">
      <c r="D389" s="106" t="s">
        <v>22</v>
      </c>
      <c r="E389" s="107">
        <f>+E387+E383</f>
        <v>6120</v>
      </c>
      <c r="F389" s="207">
        <f>+G389/E389</f>
        <v>5.128104575163399</v>
      </c>
      <c r="G389" s="109">
        <f>+G387+G383</f>
        <v>31384</v>
      </c>
      <c r="H389" s="110" t="s">
        <v>22</v>
      </c>
      <c r="I389" s="107">
        <f>I387+I383</f>
        <v>6120</v>
      </c>
      <c r="J389" s="207">
        <f>F389</f>
        <v>5.128104575163399</v>
      </c>
      <c r="K389" s="112">
        <f>K387+K385+K383</f>
        <v>31384.000000000004</v>
      </c>
      <c r="L389" s="306"/>
    </row>
    <row r="390" ht="15">
      <c r="G390" s="101"/>
    </row>
    <row r="391" ht="15">
      <c r="G391" s="101"/>
    </row>
    <row r="392" ht="15">
      <c r="G392" s="101"/>
    </row>
    <row r="393" spans="7:11" ht="15">
      <c r="G393" s="101"/>
      <c r="H393" s="19">
        <v>105</v>
      </c>
      <c r="I393" s="19">
        <v>300</v>
      </c>
      <c r="K393">
        <f>+(H393*I394)/I393</f>
        <v>3150</v>
      </c>
    </row>
    <row r="394" spans="7:9" ht="15">
      <c r="G394" s="101"/>
      <c r="H394" s="46" t="s">
        <v>58</v>
      </c>
      <c r="I394" s="19">
        <v>9000</v>
      </c>
    </row>
    <row r="395" spans="7:8" ht="15.75" thickBot="1">
      <c r="G395" s="101"/>
      <c r="H395" s="95"/>
    </row>
    <row r="396" spans="4:8" ht="19.5" thickBot="1">
      <c r="D396" s="204" t="s">
        <v>184</v>
      </c>
      <c r="E396" s="205">
        <v>9000</v>
      </c>
      <c r="F396" s="206" t="s">
        <v>185</v>
      </c>
      <c r="G396" s="101"/>
      <c r="H396" s="95"/>
    </row>
    <row r="397" spans="5:8" ht="15">
      <c r="E397" s="95"/>
      <c r="F397" s="95"/>
      <c r="G397" s="101"/>
      <c r="H397" s="95"/>
    </row>
    <row r="398" spans="5:8" ht="15">
      <c r="E398" s="95" t="s">
        <v>183</v>
      </c>
      <c r="F398" s="95"/>
      <c r="G398" s="101"/>
      <c r="H398" s="95"/>
    </row>
    <row r="399" spans="5:11" ht="15">
      <c r="E399" s="95"/>
      <c r="F399" s="95"/>
      <c r="G399" s="101"/>
      <c r="H399" s="95"/>
      <c r="K399" s="95"/>
    </row>
    <row r="400" spans="4:13" ht="18.75">
      <c r="D400" s="198" t="s">
        <v>120</v>
      </c>
      <c r="E400" s="95"/>
      <c r="F400" s="95"/>
      <c r="G400" s="101"/>
      <c r="H400" s="95"/>
      <c r="I400" s="198" t="s">
        <v>219</v>
      </c>
      <c r="J400" s="95"/>
      <c r="K400" s="95"/>
      <c r="L400" s="95"/>
      <c r="M400" s="101"/>
    </row>
    <row r="401" spans="5:13" ht="15">
      <c r="E401" s="95"/>
      <c r="F401" s="95"/>
      <c r="G401" s="101"/>
      <c r="H401" s="95"/>
      <c r="J401" s="95"/>
      <c r="K401" s="95"/>
      <c r="L401" s="95"/>
      <c r="M401" s="101"/>
    </row>
    <row r="402" spans="5:13" ht="15.75" thickBot="1">
      <c r="E402" s="95"/>
      <c r="F402" s="95"/>
      <c r="G402" s="101"/>
      <c r="H402" s="95"/>
      <c r="J402" s="95"/>
      <c r="K402" s="95"/>
      <c r="L402" s="95"/>
      <c r="M402" s="101"/>
    </row>
    <row r="403" spans="4:13" ht="15.75" thickBot="1">
      <c r="D403" s="16"/>
      <c r="E403" s="54" t="s">
        <v>14</v>
      </c>
      <c r="F403" s="54" t="s">
        <v>15</v>
      </c>
      <c r="G403" s="171" t="s">
        <v>16</v>
      </c>
      <c r="H403" s="95"/>
      <c r="I403" s="16"/>
      <c r="J403" s="54" t="s">
        <v>14</v>
      </c>
      <c r="K403" s="54" t="s">
        <v>15</v>
      </c>
      <c r="L403" s="54"/>
      <c r="M403" s="171" t="s">
        <v>16</v>
      </c>
    </row>
    <row r="404" spans="4:13" ht="15.75" thickBot="1">
      <c r="D404" s="41" t="s">
        <v>118</v>
      </c>
      <c r="E404" s="42">
        <f>I359</f>
        <v>52200</v>
      </c>
      <c r="F404" s="96" t="s">
        <v>121</v>
      </c>
      <c r="G404" s="89"/>
      <c r="H404" s="95"/>
      <c r="I404" s="41" t="s">
        <v>118</v>
      </c>
      <c r="J404" s="167">
        <v>9000</v>
      </c>
      <c r="K404" s="313">
        <v>28.66</v>
      </c>
      <c r="L404" s="308" t="s">
        <v>226</v>
      </c>
      <c r="M404" s="89">
        <f>+K404*J404</f>
        <v>257940</v>
      </c>
    </row>
    <row r="405" spans="4:13" ht="15">
      <c r="D405" s="21"/>
      <c r="E405" s="21"/>
      <c r="F405" s="21"/>
      <c r="G405" s="84"/>
      <c r="H405" s="95"/>
      <c r="I405" s="21"/>
      <c r="J405" s="48"/>
      <c r="K405" s="21"/>
      <c r="L405" s="21"/>
      <c r="M405" s="84"/>
    </row>
    <row r="406" spans="4:13" ht="15">
      <c r="D406" s="19" t="s">
        <v>24</v>
      </c>
      <c r="E406" s="19"/>
      <c r="F406" s="97"/>
      <c r="G406" s="67"/>
      <c r="H406" s="95"/>
      <c r="I406" s="19" t="s">
        <v>189</v>
      </c>
      <c r="J406" s="46">
        <f>K393</f>
        <v>3150</v>
      </c>
      <c r="K406" s="97">
        <v>0.5</v>
      </c>
      <c r="L406" s="97"/>
      <c r="M406" s="67">
        <f>K406*J406</f>
        <v>1575</v>
      </c>
    </row>
    <row r="407" spans="4:13" ht="15">
      <c r="D407" s="19" t="s">
        <v>119</v>
      </c>
      <c r="E407" s="19"/>
      <c r="F407" s="57"/>
      <c r="G407" s="84"/>
      <c r="I407" s="19" t="s">
        <v>190</v>
      </c>
      <c r="J407" s="46">
        <v>300</v>
      </c>
      <c r="K407" s="57">
        <v>5.13</v>
      </c>
      <c r="L407" s="77"/>
      <c r="M407" s="84">
        <f>+K407*J407</f>
        <v>1539</v>
      </c>
    </row>
    <row r="408" spans="4:13" ht="15">
      <c r="D408" s="19"/>
      <c r="E408" s="19"/>
      <c r="F408" s="57"/>
      <c r="G408" s="84"/>
      <c r="I408" s="19" t="s">
        <v>196</v>
      </c>
      <c r="J408" s="235"/>
      <c r="K408" s="208"/>
      <c r="L408" s="309"/>
      <c r="M408" s="177"/>
    </row>
    <row r="409" spans="4:13" ht="15">
      <c r="D409" s="19" t="s">
        <v>26</v>
      </c>
      <c r="E409" s="19"/>
      <c r="F409" s="19"/>
      <c r="G409" s="84"/>
      <c r="I409" s="19" t="s">
        <v>235</v>
      </c>
      <c r="J409" s="46">
        <f>K418</f>
        <v>447000</v>
      </c>
      <c r="K409" s="144">
        <f>O43</f>
        <v>0.0162</v>
      </c>
      <c r="L409" s="201"/>
      <c r="M409" s="84">
        <f>K409*J409</f>
        <v>7241.4</v>
      </c>
    </row>
    <row r="410" spans="4:13" ht="15">
      <c r="D410" s="55"/>
      <c r="E410" s="19"/>
      <c r="F410" s="19"/>
      <c r="G410" s="84"/>
      <c r="I410" s="55"/>
      <c r="J410" s="46"/>
      <c r="K410" s="19"/>
      <c r="L410" s="21"/>
      <c r="M410" s="84"/>
    </row>
    <row r="411" spans="4:13" ht="15">
      <c r="D411" s="19"/>
      <c r="E411" s="19"/>
      <c r="F411" s="19"/>
      <c r="G411" s="67"/>
      <c r="I411" s="19"/>
      <c r="J411" s="46"/>
      <c r="K411" s="19"/>
      <c r="L411" s="19"/>
      <c r="M411" s="67"/>
    </row>
    <row r="412" spans="4:13" ht="15.75" thickBot="1">
      <c r="D412" s="16"/>
      <c r="E412" s="16"/>
      <c r="F412" s="16"/>
      <c r="G412" s="65"/>
      <c r="I412" s="16"/>
      <c r="J412" s="168"/>
      <c r="K412" s="16"/>
      <c r="L412" s="16"/>
      <c r="M412" s="65"/>
    </row>
    <row r="413" spans="4:15" ht="15.75" thickBot="1">
      <c r="D413" s="41" t="s">
        <v>120</v>
      </c>
      <c r="E413" s="42"/>
      <c r="F413" s="78"/>
      <c r="G413" s="89">
        <v>268292</v>
      </c>
      <c r="I413" s="241" t="s">
        <v>220</v>
      </c>
      <c r="J413" s="236">
        <v>300</v>
      </c>
      <c r="K413" s="237">
        <f>+M413/J413</f>
        <v>894.3180000000001</v>
      </c>
      <c r="L413" s="310"/>
      <c r="M413" s="240">
        <f>SUM(M404:M409)</f>
        <v>268295.4</v>
      </c>
      <c r="N413" s="101"/>
      <c r="O413" s="101"/>
    </row>
    <row r="414" spans="7:13" ht="15">
      <c r="G414" s="101"/>
      <c r="J414" s="238" t="s">
        <v>216</v>
      </c>
      <c r="K414" s="75" t="s">
        <v>215</v>
      </c>
      <c r="L414" s="299"/>
      <c r="M414" s="1"/>
    </row>
    <row r="415" spans="7:13" ht="15">
      <c r="G415" s="101"/>
      <c r="M415" s="21" t="s">
        <v>217</v>
      </c>
    </row>
    <row r="416" ht="15">
      <c r="G416" s="101"/>
    </row>
    <row r="417" spans="7:12" ht="15">
      <c r="G417" s="101"/>
      <c r="K417" s="1">
        <v>1490</v>
      </c>
      <c r="L417" s="6"/>
    </row>
    <row r="418" spans="11:12" ht="15">
      <c r="K418" s="2">
        <f>+K417*J407</f>
        <v>447000</v>
      </c>
      <c r="L418" s="6"/>
    </row>
    <row r="419" ht="15">
      <c r="I419" s="113"/>
    </row>
    <row r="422" ht="15.75" thickBot="1"/>
    <row r="423" spans="9:10" ht="15.75" thickBot="1">
      <c r="I423" s="250" t="s">
        <v>223</v>
      </c>
      <c r="J423" s="47"/>
    </row>
    <row r="424" spans="9:10" ht="15">
      <c r="I424" s="252"/>
      <c r="J424" s="103"/>
    </row>
    <row r="425" spans="7:10" ht="15">
      <c r="G425" s="101"/>
      <c r="I425" s="104" t="s">
        <v>197</v>
      </c>
      <c r="J425" s="242">
        <f>J409</f>
        <v>447000</v>
      </c>
    </row>
    <row r="426" spans="7:10" ht="15">
      <c r="G426" s="101"/>
      <c r="I426" s="104"/>
      <c r="J426" s="103"/>
    </row>
    <row r="427" spans="7:10" ht="15.75" thickBot="1">
      <c r="G427" s="101"/>
      <c r="I427" s="104" t="s">
        <v>165</v>
      </c>
      <c r="J427" s="230">
        <f>M413</f>
        <v>268295.4</v>
      </c>
    </row>
    <row r="428" spans="7:10" ht="15.75" thickTop="1">
      <c r="G428" s="101"/>
      <c r="I428" s="104"/>
      <c r="J428" s="103"/>
    </row>
    <row r="429" spans="7:12" ht="15">
      <c r="G429" s="101"/>
      <c r="I429" s="231" t="s">
        <v>198</v>
      </c>
      <c r="J429" s="232">
        <f>J425-J427</f>
        <v>178704.59999999998</v>
      </c>
      <c r="K429" s="251">
        <f>+J429/J425</f>
        <v>0.399786577181208</v>
      </c>
      <c r="L429" s="311"/>
    </row>
    <row r="430" spans="7:10" ht="15">
      <c r="G430" s="101"/>
      <c r="I430" s="104"/>
      <c r="J430" s="103"/>
    </row>
    <row r="431" spans="9:10" ht="15.75" thickBot="1">
      <c r="I431" s="234" t="s">
        <v>199</v>
      </c>
      <c r="J431" s="242">
        <f>G435</f>
        <v>-4470</v>
      </c>
    </row>
    <row r="432" spans="4:10" ht="15.75" thickBot="1">
      <c r="D432" s="19" t="s">
        <v>218</v>
      </c>
      <c r="E432" s="54" t="s">
        <v>222</v>
      </c>
      <c r="F432" s="54" t="s">
        <v>15</v>
      </c>
      <c r="G432" s="54" t="s">
        <v>16</v>
      </c>
      <c r="I432" s="234"/>
      <c r="J432" s="103"/>
    </row>
    <row r="433" spans="4:10" ht="15.75" thickBot="1">
      <c r="D433" s="28"/>
      <c r="E433" s="23"/>
      <c r="F433" s="23"/>
      <c r="G433" s="23"/>
      <c r="I433" s="234"/>
      <c r="J433" s="103"/>
    </row>
    <row r="434" spans="4:10" ht="15">
      <c r="D434" s="22" t="s">
        <v>221</v>
      </c>
      <c r="E434" s="23">
        <v>300</v>
      </c>
      <c r="F434" s="247">
        <v>1490</v>
      </c>
      <c r="G434" s="243">
        <f>+F434*E434</f>
        <v>447000</v>
      </c>
      <c r="I434" s="234" t="s">
        <v>200</v>
      </c>
      <c r="J434" s="103"/>
    </row>
    <row r="435" spans="4:10" ht="15.75" thickBot="1">
      <c r="D435" s="27" t="s">
        <v>191</v>
      </c>
      <c r="E435" s="28">
        <v>300</v>
      </c>
      <c r="F435" s="211">
        <f>F434*0.01</f>
        <v>14.9</v>
      </c>
      <c r="G435" s="244">
        <f>-G434*0.01</f>
        <v>-4470</v>
      </c>
      <c r="H435" s="95"/>
      <c r="I435" s="234" t="s">
        <v>201</v>
      </c>
      <c r="J435" s="230">
        <f>E440*10</f>
        <v>60</v>
      </c>
    </row>
    <row r="436" spans="4:10" ht="15.75" thickTop="1">
      <c r="D436" s="27"/>
      <c r="E436" s="28"/>
      <c r="F436" s="211"/>
      <c r="G436" s="245"/>
      <c r="H436" s="95"/>
      <c r="I436" s="234"/>
      <c r="J436" s="242"/>
    </row>
    <row r="437" spans="4:10" ht="15">
      <c r="D437" s="27" t="s">
        <v>195</v>
      </c>
      <c r="E437" s="28">
        <f>E435</f>
        <v>300</v>
      </c>
      <c r="F437" s="211">
        <f>+F434-F435</f>
        <v>1475.1</v>
      </c>
      <c r="G437" s="245">
        <f>G434+G435</f>
        <v>442530</v>
      </c>
      <c r="H437" s="95"/>
      <c r="I437" s="104"/>
      <c r="J437" s="103"/>
    </row>
    <row r="438" spans="4:10" ht="15">
      <c r="D438" s="27"/>
      <c r="E438" s="28"/>
      <c r="F438" s="28"/>
      <c r="G438" s="245"/>
      <c r="I438" s="104"/>
      <c r="J438" s="103"/>
    </row>
    <row r="439" spans="4:12" ht="15">
      <c r="D439" s="27" t="s">
        <v>192</v>
      </c>
      <c r="E439" s="248">
        <v>0.196</v>
      </c>
      <c r="F439" s="249">
        <f>+G437</f>
        <v>442530</v>
      </c>
      <c r="G439" s="245">
        <f>G437*0.196</f>
        <v>86735.88</v>
      </c>
      <c r="I439" s="231" t="s">
        <v>202</v>
      </c>
      <c r="J439" s="233">
        <f>J429+J431+J435</f>
        <v>174294.59999999998</v>
      </c>
      <c r="K439" s="251">
        <f>+J439/J425</f>
        <v>0.3899208053691275</v>
      </c>
      <c r="L439" s="311"/>
    </row>
    <row r="440" spans="4:10" ht="15.75" thickBot="1">
      <c r="D440" s="27" t="s">
        <v>194</v>
      </c>
      <c r="E440" s="28">
        <v>6</v>
      </c>
      <c r="F440" s="28">
        <v>45</v>
      </c>
      <c r="G440" s="244">
        <f>F440*E440</f>
        <v>270</v>
      </c>
      <c r="I440" s="119"/>
      <c r="J440" s="228"/>
    </row>
    <row r="441" spans="4:7" ht="15.75" thickTop="1">
      <c r="D441" s="27"/>
      <c r="E441" s="28"/>
      <c r="F441" s="28"/>
      <c r="G441" s="245">
        <f>+G437+G439+G440</f>
        <v>529535.88</v>
      </c>
    </row>
    <row r="442" spans="4:7" ht="15.75" thickBot="1">
      <c r="D442" s="29"/>
      <c r="E442" s="30"/>
      <c r="F442" s="30"/>
      <c r="G442" s="246"/>
    </row>
    <row r="443" spans="4:7" ht="15">
      <c r="D443" s="16"/>
      <c r="E443" s="16"/>
      <c r="F443" s="16"/>
      <c r="G443" s="16"/>
    </row>
    <row r="444" spans="4:7" ht="15">
      <c r="D444" s="16"/>
      <c r="E444" s="16"/>
      <c r="F444" s="16"/>
      <c r="G444" s="16"/>
    </row>
  </sheetData>
  <sheetProtection/>
  <hyperlinks>
    <hyperlink ref="C2" r:id="rId1" display="jscilien@parisnanterre.fr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5:J30"/>
  <sheetViews>
    <sheetView zoomScalePageLayoutView="0" workbookViewId="0" topLeftCell="A25">
      <selection activeCell="C15" sqref="C15:J30"/>
    </sheetView>
  </sheetViews>
  <sheetFormatPr defaultColWidth="11.421875" defaultRowHeight="15"/>
  <sheetData>
    <row r="15" spans="3:10" ht="15">
      <c r="C15" s="40" t="s">
        <v>93</v>
      </c>
      <c r="D15" s="16"/>
      <c r="E15" s="16"/>
      <c r="F15" s="16"/>
      <c r="G15" s="16"/>
      <c r="H15" s="16"/>
      <c r="I15" s="16"/>
      <c r="J15" s="16"/>
    </row>
    <row r="16" spans="3:6" ht="15.75" thickBot="1">
      <c r="C16" s="40"/>
      <c r="D16" s="16"/>
      <c r="E16" s="16"/>
      <c r="F16" s="16"/>
    </row>
    <row r="17" spans="3:10" ht="15.75" thickBot="1">
      <c r="C17" s="41"/>
      <c r="D17" s="42" t="s">
        <v>14</v>
      </c>
      <c r="E17" s="42" t="s">
        <v>15</v>
      </c>
      <c r="F17" s="42" t="s">
        <v>16</v>
      </c>
      <c r="G17" s="42"/>
      <c r="H17" s="42" t="s">
        <v>14</v>
      </c>
      <c r="I17" s="42" t="s">
        <v>15</v>
      </c>
      <c r="J17" s="43" t="s">
        <v>16</v>
      </c>
    </row>
    <row r="18" spans="3:10" ht="15">
      <c r="C18" s="21" t="s">
        <v>10</v>
      </c>
      <c r="D18" s="21"/>
      <c r="E18" s="21"/>
      <c r="F18" s="21"/>
      <c r="G18" s="21" t="s">
        <v>31</v>
      </c>
      <c r="H18" s="21"/>
      <c r="I18" s="21">
        <v>37</v>
      </c>
      <c r="J18" s="21"/>
    </row>
    <row r="19" spans="3:10" ht="15">
      <c r="C19" s="19"/>
      <c r="D19" s="19"/>
      <c r="E19" s="19"/>
      <c r="F19" s="19"/>
      <c r="G19" s="19"/>
      <c r="H19" s="19"/>
      <c r="I19" s="19"/>
      <c r="J19" s="19"/>
    </row>
    <row r="20" spans="3:10" ht="15">
      <c r="C20" s="19"/>
      <c r="D20" s="19"/>
      <c r="E20" s="19"/>
      <c r="F20" s="19"/>
      <c r="G20" s="19"/>
      <c r="H20" s="19"/>
      <c r="I20" s="19"/>
      <c r="J20" s="19"/>
    </row>
    <row r="21" spans="3:10" ht="15">
      <c r="C21" s="19"/>
      <c r="D21" s="19"/>
      <c r="E21" s="19"/>
      <c r="F21" s="19"/>
      <c r="G21" s="19"/>
      <c r="H21" s="19"/>
      <c r="I21" s="19"/>
      <c r="J21" s="19"/>
    </row>
    <row r="22" spans="3:10" ht="15">
      <c r="C22" s="19"/>
      <c r="D22" s="19"/>
      <c r="E22" s="19"/>
      <c r="F22" s="19"/>
      <c r="G22" s="19"/>
      <c r="H22" s="19"/>
      <c r="I22" s="19"/>
      <c r="J22" s="19"/>
    </row>
    <row r="23" spans="3:10" ht="15">
      <c r="C23" s="19" t="s">
        <v>23</v>
      </c>
      <c r="D23" s="19"/>
      <c r="E23" s="19"/>
      <c r="F23" s="19"/>
      <c r="G23" s="19" t="s">
        <v>34</v>
      </c>
      <c r="H23" s="19"/>
      <c r="I23" s="19"/>
      <c r="J23" s="19"/>
    </row>
    <row r="24" spans="3:10" ht="15.75" thickBot="1">
      <c r="C24" s="20"/>
      <c r="D24" s="20"/>
      <c r="E24" s="20"/>
      <c r="F24" s="20"/>
      <c r="G24" s="20"/>
      <c r="H24" s="20"/>
      <c r="I24" s="20"/>
      <c r="J24" s="20"/>
    </row>
    <row r="25" spans="3:10" ht="15.75" thickBot="1">
      <c r="C25" s="41" t="s">
        <v>22</v>
      </c>
      <c r="D25" s="42"/>
      <c r="E25" s="42"/>
      <c r="F25" s="42"/>
      <c r="G25" s="42" t="s">
        <v>22</v>
      </c>
      <c r="H25" s="42"/>
      <c r="I25" s="42"/>
      <c r="J25" s="43"/>
    </row>
    <row r="26" spans="3:10" ht="15">
      <c r="C26" s="40"/>
      <c r="D26" s="40"/>
      <c r="E26" s="16"/>
      <c r="F26" s="16"/>
      <c r="G26" s="16"/>
      <c r="H26" s="16"/>
      <c r="I26" s="16"/>
      <c r="J26" s="16"/>
    </row>
    <row r="27" spans="3:6" ht="15">
      <c r="C27" s="40"/>
      <c r="D27" s="40"/>
      <c r="E27" s="16"/>
      <c r="F27" s="16"/>
    </row>
    <row r="28" spans="7:10" ht="15">
      <c r="G28" s="16"/>
      <c r="H28" s="16"/>
      <c r="I28" s="16"/>
      <c r="J28" s="16"/>
    </row>
    <row r="29" spans="3:10" ht="15">
      <c r="C29" s="40"/>
      <c r="D29" s="40"/>
      <c r="E29" s="16"/>
      <c r="F29" s="16"/>
      <c r="G29" s="16"/>
      <c r="H29" s="16"/>
      <c r="I29" s="16"/>
      <c r="J29" s="16"/>
    </row>
    <row r="30" spans="3:10" ht="15">
      <c r="C30" s="40"/>
      <c r="D30" s="40"/>
      <c r="E30" s="16"/>
      <c r="F30" s="16"/>
      <c r="G30" s="16"/>
      <c r="H30" s="16"/>
      <c r="I30" s="16"/>
      <c r="J30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SCILIEN</dc:creator>
  <cp:keywords/>
  <dc:description/>
  <cp:lastModifiedBy>Hewlett-Packard Company</cp:lastModifiedBy>
  <dcterms:created xsi:type="dcterms:W3CDTF">2013-02-07T16:01:31Z</dcterms:created>
  <dcterms:modified xsi:type="dcterms:W3CDTF">2020-03-07T14:02:43Z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